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470.xml" ContentType="application/vnd.openxmlformats-officedocument.spreadsheetml.revisionLog+xml"/>
  <Override PartName="/xl/revisions/revisionLog491.xml" ContentType="application/vnd.openxmlformats-officedocument.spreadsheetml.revisionLog+xml"/>
  <Override PartName="/xl/revisions/revisionLog449.xml" ContentType="application/vnd.openxmlformats-officedocument.spreadsheetml.revisionLog+xml"/>
  <Override PartName="/xl/revisions/revisionLog502.xml" ContentType="application/vnd.openxmlformats-officedocument.spreadsheetml.revisionLog+xml"/>
  <Override PartName="/xl/revisions/revisionLog486.xml" ContentType="application/vnd.openxmlformats-officedocument.spreadsheetml.revisionLog+xml"/>
  <Override PartName="/xl/revisions/revisionLog465.xml" ContentType="application/vnd.openxmlformats-officedocument.spreadsheetml.revisionLog+xml"/>
  <Override PartName="/xl/revisions/revisionLog507.xml" ContentType="application/vnd.openxmlformats-officedocument.spreadsheetml.revisionLog+xml"/>
  <Override PartName="/xl/revisions/revisionLog460.xml" ContentType="application/vnd.openxmlformats-officedocument.spreadsheetml.revisionLog+xml"/>
  <Override PartName="/xl/revisions/revisionLog481.xml" ContentType="application/vnd.openxmlformats-officedocument.spreadsheetml.revisionLog+xml"/>
  <Override PartName="/xl/revisions/revisionLog492.xml" ContentType="application/vnd.openxmlformats-officedocument.spreadsheetml.revisionLog+xml"/>
  <Override PartName="/xl/revisions/revisionLog497.xml" ContentType="application/vnd.openxmlformats-officedocument.spreadsheetml.revisionLog+xml"/>
  <Override PartName="/xl/revisions/revisionLog476.xml" ContentType="application/vnd.openxmlformats-officedocument.spreadsheetml.revisionLog+xml"/>
  <Override PartName="/xl/revisions/revisionLog455.xml" ContentType="application/vnd.openxmlformats-officedocument.spreadsheetml.revisionLog+xml"/>
  <Override PartName="/xl/revisions/revisionLog518.xml" ContentType="application/vnd.openxmlformats-officedocument.spreadsheetml.revisionLog+xml"/>
  <Override PartName="/xl/revisions/revisionLog484.xml" ContentType="application/vnd.openxmlformats-officedocument.spreadsheetml.revisionLog+xml"/>
  <Override PartName="/xl/revisions/revisionLog505.xml" ContentType="application/vnd.openxmlformats-officedocument.spreadsheetml.revisionLog+xml"/>
  <Override PartName="/xl/revisions/revisionLog463.xml" ContentType="application/vnd.openxmlformats-officedocument.spreadsheetml.revisionLog+xml"/>
  <Override PartName="/xl/revisions/revisionLog510.xml" ContentType="application/vnd.openxmlformats-officedocument.spreadsheetml.revisionLog+xml"/>
  <Override PartName="/xl/revisions/revisionLog489.xml" ContentType="application/vnd.openxmlformats-officedocument.spreadsheetml.revisionLog+xml"/>
  <Override PartName="/xl/revisions/revisionLog513.xml" ContentType="application/vnd.openxmlformats-officedocument.spreadsheetml.revisionLog+xml"/>
  <Override PartName="/xl/revisions/revisionLog1.xml" ContentType="application/vnd.openxmlformats-officedocument.spreadsheetml.revisionLog+xml"/>
  <Override PartName="/xl/revisions/revisionLog471.xml" ContentType="application/vnd.openxmlformats-officedocument.spreadsheetml.revisionLog+xml"/>
  <Override PartName="/xl/revisions/revisionLog450.xml" ContentType="application/vnd.openxmlformats-officedocument.spreadsheetml.revisionLog+xml"/>
  <Override PartName="/xl/revisions/revisionLog458.xml" ContentType="application/vnd.openxmlformats-officedocument.spreadsheetml.revisionLog+xml"/>
  <Override PartName="/xl/revisions/revisionLog482.xml" ContentType="application/vnd.openxmlformats-officedocument.spreadsheetml.revisionLog+xml"/>
  <Override PartName="/xl/revisions/revisionLog521.xml" ContentType="application/vnd.openxmlformats-officedocument.spreadsheetml.revisionLog+xml"/>
  <Override PartName="/xl/revisions/revisionLog487.xml" ContentType="application/vnd.openxmlformats-officedocument.spreadsheetml.revisionLog+xml"/>
  <Override PartName="/xl/revisions/revisionLog466.xml" ContentType="application/vnd.openxmlformats-officedocument.spreadsheetml.revisionLog+xml"/>
  <Override PartName="/xl/revisions/revisionLog508.xml" ContentType="application/vnd.openxmlformats-officedocument.spreadsheetml.revisionLog+xml"/>
  <Override PartName="/xl/revisions/revisionLog495.xml" ContentType="application/vnd.openxmlformats-officedocument.spreadsheetml.revisionLog+xml"/>
  <Override PartName="/xl/revisions/revisionLog453.xml" ContentType="application/vnd.openxmlformats-officedocument.spreadsheetml.revisionLog+xml"/>
  <Override PartName="/xl/revisions/revisionLog479.xml" ContentType="application/vnd.openxmlformats-officedocument.spreadsheetml.revisionLog+xml"/>
  <Override PartName="/xl/revisions/revisionLog474.xml" ContentType="application/vnd.openxmlformats-officedocument.spreadsheetml.revisionLog+xml"/>
  <Override PartName="/xl/revisions/revisionLog500.xml" ContentType="application/vnd.openxmlformats-officedocument.spreadsheetml.revisionLog+xml"/>
  <Override PartName="/xl/revisions/revisionLog503.xml" ContentType="application/vnd.openxmlformats-officedocument.spreadsheetml.revisionLog+xml"/>
  <Override PartName="/xl/revisions/revisionLog516.xml" ContentType="application/vnd.openxmlformats-officedocument.spreadsheetml.revisionLog+xml"/>
  <Override PartName="/xl/revisions/revisionLog4.xml" ContentType="application/vnd.openxmlformats-officedocument.spreadsheetml.revisionLog+xml"/>
  <Override PartName="/xl/revisions/revisionLog461.xml" ContentType="application/vnd.openxmlformats-officedocument.spreadsheetml.revisionLog+xml"/>
  <Override PartName="/xl/revisions/revisionLog519.xml" ContentType="application/vnd.openxmlformats-officedocument.spreadsheetml.revisionLog+xml"/>
  <Override PartName="/xl/revisions/revisionLog498.xml" ContentType="application/vnd.openxmlformats-officedocument.spreadsheetml.revisionLog+xml"/>
  <Override PartName="/xl/revisions/revisionLog456.xml" ContentType="application/vnd.openxmlformats-officedocument.spreadsheetml.revisionLog+xml"/>
  <Override PartName="/xl/revisions/revisionLog448.xml" ContentType="application/vnd.openxmlformats-officedocument.spreadsheetml.revisionLog+xml"/>
  <Override PartName="/xl/revisions/revisionLog477.xml" ContentType="application/vnd.openxmlformats-officedocument.spreadsheetml.revisionLog+xml"/>
  <Override PartName="/xl/revisions/revisionLog464.xml" ContentType="application/vnd.openxmlformats-officedocument.spreadsheetml.revisionLog+xml"/>
  <Override PartName="/xl/revisions/revisionLog511.xml" ContentType="application/vnd.openxmlformats-officedocument.spreadsheetml.revisionLog+xml"/>
  <Override PartName="/xl/revisions/revisionLog485.xml" ContentType="application/vnd.openxmlformats-officedocument.spreadsheetml.revisionLog+xml"/>
  <Override PartName="/xl/revisions/revisionLog469.xml" ContentType="application/vnd.openxmlformats-officedocument.spreadsheetml.revisionLog+xml"/>
  <Override PartName="/xl/revisions/revisionLog490.xml" ContentType="application/vnd.openxmlformats-officedocument.spreadsheetml.revisionLog+xml"/>
  <Override PartName="/xl/revisions/revisionLog493.xml" ContentType="application/vnd.openxmlformats-officedocument.spreadsheetml.revisionLog+xml"/>
  <Override PartName="/xl/revisions/revisionLog472.xml" ContentType="application/vnd.openxmlformats-officedocument.spreadsheetml.revisionLog+xml"/>
  <Override PartName="/xl/revisions/revisionLog514.xml" ContentType="application/vnd.openxmlformats-officedocument.spreadsheetml.revisionLog+xml"/>
  <Override PartName="/xl/revisions/revisionLog506.xml" ContentType="application/vnd.openxmlformats-officedocument.spreadsheetml.revisionLog+xml"/>
  <Override PartName="/xl/revisions/revisionLog2.xml" ContentType="application/vnd.openxmlformats-officedocument.spreadsheetml.revisionLog+xml"/>
  <Override PartName="/xl/revisions/revisionLog451.xml" ContentType="application/vnd.openxmlformats-officedocument.spreadsheetml.revisionLog+xml"/>
  <Override PartName="/xl/revisions/revisionLog488.xml" ContentType="application/vnd.openxmlformats-officedocument.spreadsheetml.revisionLog+xml"/>
  <Override PartName="/xl/revisions/revisionLog501.xml" ContentType="application/vnd.openxmlformats-officedocument.spreadsheetml.revisionLog+xml"/>
  <Override PartName="/xl/revisions/revisionLog467.xml" ContentType="application/vnd.openxmlformats-officedocument.spreadsheetml.revisionLog+xml"/>
  <Override PartName="/xl/revisions/revisionLog454.xml" ContentType="application/vnd.openxmlformats-officedocument.spreadsheetml.revisionLog+xml"/>
  <Override PartName="/xl/revisions/revisionLog475.xml" ContentType="application/vnd.openxmlformats-officedocument.spreadsheetml.revisionLog+xml"/>
  <Override PartName="/xl/revisions/revisionLog459.xml" ContentType="application/vnd.openxmlformats-officedocument.spreadsheetml.revisionLog+xml"/>
  <Override PartName="/xl/revisions/revisionLog480.xml" ContentType="application/vnd.openxmlformats-officedocument.spreadsheetml.revisionLog+xml"/>
  <Override PartName="/xl/revisions/revisionLog504.xml" ContentType="application/vnd.openxmlformats-officedocument.spreadsheetml.revisionLog+xml"/>
  <Override PartName="/xl/revisions/revisionLog483.xml" ContentType="application/vnd.openxmlformats-officedocument.spreadsheetml.revisionLog+xml"/>
  <Override PartName="/xl/revisions/revisionLog462.xml" ContentType="application/vnd.openxmlformats-officedocument.spreadsheetml.revisionLog+xml"/>
  <Override PartName="/xl/revisions/revisionLog509.xml" ContentType="application/vnd.openxmlformats-officedocument.spreadsheetml.revisionLog+xml"/>
  <Override PartName="/xl/revisions/revisionLog517.xml" ContentType="application/vnd.openxmlformats-officedocument.spreadsheetml.revisionLog+xml"/>
  <Override PartName="/xl/revisions/revisionLog512.xml" ContentType="application/vnd.openxmlformats-officedocument.spreadsheetml.revisionLog+xml"/>
  <Override PartName="/xl/revisions/revisionLog496.xml" ContentType="application/vnd.openxmlformats-officedocument.spreadsheetml.revisionLog+xml"/>
  <Override PartName="/xl/revisions/revisionLog457.xml" ContentType="application/vnd.openxmlformats-officedocument.spreadsheetml.revisionLog+xml"/>
  <Override PartName="/xl/revisions/revisionLog478.xml" ContentType="application/vnd.openxmlformats-officedocument.spreadsheetml.revisionLog+xml"/>
  <Override PartName="/xl/revisions/revisionLog515.xml" ContentType="application/vnd.openxmlformats-officedocument.spreadsheetml.revisionLog+xml"/>
  <Override PartName="/xl/revisions/revisionLog452.xml" ContentType="application/vnd.openxmlformats-officedocument.spreadsheetml.revisionLog+xml"/>
  <Override PartName="/xl/revisions/revisionLog494.xml" ContentType="application/vnd.openxmlformats-officedocument.spreadsheetml.revisionLog+xml"/>
  <Override PartName="/xl/revisions/revisionLog473.xml" ContentType="application/vnd.openxmlformats-officedocument.spreadsheetml.revisionLog+xml"/>
  <Override PartName="/xl/revisions/revisionLog520.xml" ContentType="application/vnd.openxmlformats-officedocument.spreadsheetml.revisionLog+xml"/>
  <Override PartName="/xl/revisions/revisionLog499.xml" ContentType="application/vnd.openxmlformats-officedocument.spreadsheetml.revisionLog+xml"/>
  <Override PartName="/xl/revisions/revisionLog3.xml" ContentType="application/vnd.openxmlformats-officedocument.spreadsheetml.revisionLog+xml"/>
  <Override PartName="/xl/revisions/revisionLog447.xml" ContentType="application/vnd.openxmlformats-officedocument.spreadsheetml.revisionLog+xml"/>
  <Override PartName="/xl/revisions/revisionLog46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C:\Users\mircea.pavel\Downloads\"/>
    </mc:Choice>
  </mc:AlternateContent>
  <xr:revisionPtr revIDLastSave="0" documentId="13_ncr:81_{00B63BB2-7211-495F-9A05-AF2447678776}" xr6:coauthVersionLast="40" xr6:coauthVersionMax="40" xr10:uidLastSave="{00000000-0000-0000-0000-000000000000}"/>
  <workbookProtection workbookPassword="CA39" lockStructure="1"/>
  <bookViews>
    <workbookView xWindow="0" yWindow="0" windowWidth="28800" windowHeight="12225" tabRatio="154" xr2:uid="{00000000-000D-0000-FFFF-FFFF00000000}"/>
  </bookViews>
  <sheets>
    <sheet name="Sheet1" sheetId="1" r:id="rId1"/>
  </sheets>
  <definedNames>
    <definedName name="_xlnm._FilterDatabase" localSheetId="0" hidden="1">Sheet1!$A$1:$AK$318</definedName>
    <definedName name="_Hlk511228962">Sheet1!#REF!</definedName>
    <definedName name="_Hlk511229340">Sheet1!#REF!</definedName>
    <definedName name="_Hlk516490095" localSheetId="0">Sheet1!$I$289</definedName>
    <definedName name="_xlnm.Print_Area" localSheetId="0">Sheet1!$A$1:$AK$318</definedName>
    <definedName name="Z_00A99CA1_F635_44AE_9E4D_C2CEC4CEF175_.wvu.FilterData" localSheetId="0" hidden="1">Sheet1!$A$1:$AK$318</definedName>
    <definedName name="Z_00A99CA1_F635_44AE_9E4D_C2CEC4CEF175_.wvu.PrintArea" localSheetId="0" hidden="1">Sheet1!$A$1:$AK$318</definedName>
    <definedName name="Z_0585DD1B_89D4_4278_953B_FA6D57DCCE82_.wvu.FilterData" localSheetId="0" hidden="1">Sheet1!$A$6:$AK$318</definedName>
    <definedName name="Z_0781B6C2_B440_4971_9809_BD16245A70FD_.wvu.FilterData" localSheetId="0" hidden="1">Sheet1!$A$1:$AK$318</definedName>
    <definedName name="Z_0781B6C2_B440_4971_9809_BD16245A70FD_.wvu.PrintArea" localSheetId="0" hidden="1">Sheet1!$A$1:$AK$318</definedName>
    <definedName name="Z_0A043D96_6DF8_4E40_9D1E_818A39BAFD81_.wvu.FilterData" localSheetId="0" hidden="1">Sheet1!$A$6:$AK$318</definedName>
    <definedName name="Z_0D4E932E_8E85_4001_9304_AAB4DBAD8A65_.wvu.FilterData" localSheetId="0" hidden="1">Sheet1!$A$6:$AK$305</definedName>
    <definedName name="Z_122B486E_8EE5_41FD_B958_74B116FA5D23_.wvu.FilterData" localSheetId="0" hidden="1">Sheet1!$A$1:$AK$305</definedName>
    <definedName name="Z_1278E668_633E_4AB5_BA11_904BA4B2301D_.wvu.FilterData" localSheetId="0" hidden="1">Sheet1!$A$1:$AK$305</definedName>
    <definedName name="Z_15F03B40_FCDD_463A_AE42_63F6121ACBED_.wvu.FilterData" localSheetId="0" hidden="1">Sheet1!$C$1:$C$318</definedName>
    <definedName name="Z_17F4A6A1_469E_46FB_A3A0_041FC3712E3B_.wvu.FilterData" localSheetId="0" hidden="1">Sheet1!$A$6:$AK$318</definedName>
    <definedName name="Z_22D79F88_81A2_49FE_923A_13405540BBB2_.wvu.FilterData" localSheetId="0" hidden="1">Sheet1!$A$6:$AK$305</definedName>
    <definedName name="Z_2355B1FA_E7E3_44CD_A529_24812589AA28_.wvu.FilterData" localSheetId="0" hidden="1">Sheet1!$A$6:$AK$318</definedName>
    <definedName name="Z_250231BB_5F02_4B46_B1CA_B904A9B40BA2_.wvu.FilterData" localSheetId="0" hidden="1">Sheet1!$A$3:$AK$318</definedName>
    <definedName name="Z_25084D9D_9C92_4823_A653_D1AEC60737AD_.wvu.FilterData" localSheetId="0" hidden="1">Sheet1!$A$6:$AK$305</definedName>
    <definedName name="Z_2547C3D7_22F7_4CAF_8E48_C8F3425DB942_.wvu.FilterData" localSheetId="0" hidden="1">Sheet1!$A$6:$AK$318</definedName>
    <definedName name="Z_297CB86E_F816_4839_BE0B_A075145D0E50_.wvu.FilterData" localSheetId="0" hidden="1">Sheet1!$A$1:$AK$305</definedName>
    <definedName name="Z_2A26C971_CCE6_49C7_89EC_0B2699E5DD98_.wvu.FilterData" localSheetId="0" hidden="1">Sheet1!$A$6:$AK$318</definedName>
    <definedName name="Z_2A657C48_B241_4C19_9A74_98ECFC665F2A_.wvu.FilterData" localSheetId="0" hidden="1">Sheet1!$A$7:$AK$318</definedName>
    <definedName name="Z_2C296388_EDB5_4F1F_B0F4_90EC07CCD947_.wvu.FilterData" localSheetId="0" hidden="1">Sheet1!$A$1:$AK$318</definedName>
    <definedName name="Z_2C296388_EDB5_4F1F_B0F4_90EC07CCD947_.wvu.PrintArea" localSheetId="0" hidden="1">Sheet1!$A$1:$AK$318</definedName>
    <definedName name="Z_305BEEB9_C99E_4E52_A4AB_56EA1595A366_.wvu.FilterData" localSheetId="0" hidden="1">Sheet1!$A$6:$AK$318</definedName>
    <definedName name="Z_324E461A_DC75_4814_87BA_41F170D0ED0B_.wvu.FilterData" localSheetId="0" hidden="1">Sheet1!$A$6:$AK$318</definedName>
    <definedName name="Z_340EDCDE_FAE5_4319_AEAD_F8264DCA5D27_.wvu.FilterData" localSheetId="0" hidden="1">Sheet1!$A$7:$AK$318</definedName>
    <definedName name="Z_34BB42D3_88F0_437E_91ED_3E3C369B9525_.wvu.FilterData" localSheetId="0" hidden="1">Sheet1!$A$6:$AK$318</definedName>
    <definedName name="Z_36624B2D_80F9_4F79_AC4A_B3547C36F23F_.wvu.FilterData" localSheetId="0" hidden="1">Sheet1!$A$1:$AK$318</definedName>
    <definedName name="Z_36624B2D_80F9_4F79_AC4A_B3547C36F23F_.wvu.PrintArea" localSheetId="0" hidden="1">Sheet1!$A$1:$AK$318</definedName>
    <definedName name="Z_38C68E87_361F_434A_8BE4_BA2AF4CB3868_.wvu.FilterData" localSheetId="0" hidden="1">Sheet1!$A$6:$AK$318</definedName>
    <definedName name="Z_3AFE79CE_CE75_447D_8C73_1AE63A224CBA_.wvu.FilterData" localSheetId="0" hidden="1">Sheet1!$A$6:$AK$318</definedName>
    <definedName name="Z_3AFE79CE_CE75_447D_8C73_1AE63A224CBA_.wvu.PrintArea" localSheetId="0" hidden="1">Sheet1!$A$1:$AK$318</definedName>
    <definedName name="Z_3E7AD119_0031_4735_857B_FBC0C47AB231_.wvu.FilterData" localSheetId="0" hidden="1">Sheet1!$A$6:$AK$318</definedName>
    <definedName name="Z_3F70E84F_60E2_4042_91AA_EFB3B23DDDDF_.wvu.FilterData" localSheetId="0" hidden="1">Sheet1!$A$1:$AK$305</definedName>
    <definedName name="Z_4179C3D9_D1C3_46CD_B643_627525757C5E_.wvu.FilterData" localSheetId="0" hidden="1">Sheet1!$A$1:$AK$214</definedName>
    <definedName name="Z_41AA4E5D_9625_4478_B720_2BD6AE34E699_.wvu.FilterData" localSheetId="0" hidden="1">Sheet1!$A$6:$AK$318</definedName>
    <definedName name="Z_471339A8_E0FA_4CA1_8194_04936068CF02_.wvu.FilterData" localSheetId="0" hidden="1">Sheet1!$A$1:$AK$318</definedName>
    <definedName name="Z_497C7126_2491_461C_AFC3_03C2E163F15C_.wvu.FilterData" localSheetId="0" hidden="1">Sheet1!$A$6:$AK$305</definedName>
    <definedName name="Z_4AAB8139_F2B6_43E5_8C9F_E607BD4F44E4_.wvu.FilterData" localSheetId="0" hidden="1">Sheet1!$A$1:$AK$305</definedName>
    <definedName name="Z_4C2A0B30_0070_415E_A110_A9BCC2779710_.wvu.FilterData" localSheetId="0" hidden="1">Sheet1!$C$1:$C$318</definedName>
    <definedName name="Z_4FDB167B_D56E_45D4_B120_847D0871AA6B_.wvu.FilterData" localSheetId="0" hidden="1">Sheet1!$A$6:$AK$318</definedName>
    <definedName name="Z_53ED3D47_B2C0_43A1_9A1E_F030D529F74C_.wvu.FilterData" localSheetId="0" hidden="1">Sheet1!$A$6:$AK$318</definedName>
    <definedName name="Z_53ED3D47_B2C0_43A1_9A1E_F030D529F74C_.wvu.PrintArea" localSheetId="0" hidden="1">Sheet1!$A$1:$AK$318</definedName>
    <definedName name="Z_5789AB6A_B04B_4240_920E_89274E9F5C82_.wvu.FilterData" localSheetId="0" hidden="1">Sheet1!$A$6:$AK$218</definedName>
    <definedName name="Z_59EBF1CB_AF85_469A_B1D0_E57CB0203158_.wvu.FilterData" localSheetId="0" hidden="1">Sheet1!$C$1:$C$318</definedName>
    <definedName name="Z_5AAA4DFE_88B1_4674_95ED_5FCD7A50BC22_.wvu.FilterData" localSheetId="0" hidden="1">Sheet1!$A$1:$AK$318</definedName>
    <definedName name="Z_5AAA4DFE_88B1_4674_95ED_5FCD7A50BC22_.wvu.PrintArea" localSheetId="0" hidden="1">Sheet1!$A$1:$AK$318</definedName>
    <definedName name="Z_5E661ABE_E06E_455E_A661_DDD1907219D0_.wvu.FilterData" localSheetId="0" hidden="1">Sheet1!$A$1:$AK$305</definedName>
    <definedName name="Z_6408B19F_539D_4190_A77D_CCE77E163803_.wvu.FilterData" localSheetId="0" hidden="1">Sheet1!$A$1:$AK$305</definedName>
    <definedName name="Z_65B035E3_87FA_46C5_996E_864F2C8D0EBC_.wvu.Cols" localSheetId="0" hidden="1">Sheet1!$H:$N</definedName>
    <definedName name="Z_65B035E3_87FA_46C5_996E_864F2C8D0EBC_.wvu.FilterData" localSheetId="0" hidden="1">Sheet1!$A$6:$AK$318</definedName>
    <definedName name="Z_65B035E3_87FA_46C5_996E_864F2C8D0EBC_.wvu.PrintArea" localSheetId="0" hidden="1">Sheet1!$A$1:$AK$318</definedName>
    <definedName name="Z_65C35D6D_934F_4431_BA92_90255FC17BA4_.wvu.FilterData" localSheetId="0" hidden="1">Sheet1!$A$1:$AK$318</definedName>
    <definedName name="Z_65C35D6D_934F_4431_BA92_90255FC17BA4_.wvu.PrintArea" localSheetId="0" hidden="1">Sheet1!$A$1:$AK$318</definedName>
    <definedName name="Z_6B2EC822_DCDB_4711_A946_1038FC40FACE_.wvu.FilterData" localSheetId="0" hidden="1">Sheet1!$A$1:$AK$305</definedName>
    <definedName name="Z_6C96816B_17C2_4EA9_846E_8E6B5AD26B6D_.wvu.FilterData" localSheetId="0" hidden="1">Sheet1!#REF!</definedName>
    <definedName name="Z_6CE52079_5576_45A5_9A9F_9CA970D849EF_.wvu.FilterData" localSheetId="0" hidden="1">Sheet1!$A$6:$AK$318</definedName>
    <definedName name="Z_747340EB_2B31_46D2_ACDE_4FA91E2B50F6_.wvu.FilterData" localSheetId="0" hidden="1">Sheet1!$A$1:$AK$318</definedName>
    <definedName name="Z_747340EB_2B31_46D2_ACDE_4FA91E2B50F6_.wvu.PrintArea" localSheetId="0" hidden="1">Sheet1!$A$1:$AK$318</definedName>
    <definedName name="Z_7A12EF56_0E17_493A_8E1E_6DFC6553C116_.wvu.FilterData" localSheetId="0" hidden="1">Sheet1!$A$6:$AK$305</definedName>
    <definedName name="Z_7C1B4D6D_D666_48DD_AB17_E00791B6F0B6_.wvu.FilterData" localSheetId="0" hidden="1">Sheet1!$A$7:$AK$318</definedName>
    <definedName name="Z_7C1B4D6D_D666_48DD_AB17_E00791B6F0B6_.wvu.PrintArea" localSheetId="0" hidden="1">Sheet1!$A$1:$AK$318</definedName>
    <definedName name="Z_7C389A6C_C379_45EF_8779_FEC15F27C7E7_.wvu.FilterData" localSheetId="0" hidden="1">Sheet1!$C$1:$C$318</definedName>
    <definedName name="Z_7D2F4374_D571_49E4_B659_129D2AFDC43C_.wvu.FilterData" localSheetId="0" hidden="1">Sheet1!$A$6:$AK$318</definedName>
    <definedName name="Z_831F7439_6937_483F_B601_184FEF5CECFD_.wvu.FilterData" localSheetId="0" hidden="1">Sheet1!$A$6:$AK$318</definedName>
    <definedName name="Z_84FB199A_D56E_4FDD_AC4A_70CE86CD87BC_.wvu.FilterData" localSheetId="0" hidden="1">Sheet1!$A$6:$AK$318</definedName>
    <definedName name="Z_84FB199A_D56E_4FDD_AC4A_70CE86CD87BC_.wvu.PrintArea" localSheetId="0" hidden="1">Sheet1!$A$1:$AK$318</definedName>
    <definedName name="Z_89F20599_320E_4C2A_9159_8E9F2F24F61C_.wvu.FilterData" localSheetId="0" hidden="1">Sheet1!$A$6:$AK$318</definedName>
    <definedName name="Z_8EDB8BF9_8BBB_4EEE_B4F0_C5928D0746DD_.wvu.FilterData" localSheetId="0" hidden="1">Sheet1!$A$1:$AK$318</definedName>
    <definedName name="Z_901F9774_8BE7_424D_87C2_1026F3FA2E93_.wvu.FilterData" localSheetId="0" hidden="1">Sheet1!$A$1:$AK$318</definedName>
    <definedName name="Z_901F9774_8BE7_424D_87C2_1026F3FA2E93_.wvu.PrintArea" localSheetId="0" hidden="1">Sheet1!$A$1:$AK$318</definedName>
    <definedName name="Z_902D3CAF_0577_4A3F_A86A_C01FD8CA4695_.wvu.FilterData" localSheetId="0" hidden="1">Sheet1!$A$6:$AK$318</definedName>
    <definedName name="Z_905D93EA_5662_45AB_8995_A9908B3E5D52_.wvu.FilterData" localSheetId="0" hidden="1">Sheet1!$B$1:$B$318</definedName>
    <definedName name="Z_905D93EA_5662_45AB_8995_A9908B3E5D52_.wvu.PrintArea" localSheetId="0" hidden="1">Sheet1!$A$1:$AK$318</definedName>
    <definedName name="Z_91199DA1_59E7_4345_8CB7_A1085C901326_.wvu.FilterData" localSheetId="0" hidden="1">Sheet1!$A$6:$AK$318</definedName>
    <definedName name="Z_91251A9B_6CF6_49E6_857D_BA6C728D7C53_.wvu.FilterData" localSheetId="0" hidden="1">Sheet1!$A$1:$AK$305</definedName>
    <definedName name="Z_923E7374_9C36_4380_9E0A_313EA2F408F0_.wvu.FilterData" localSheetId="0" hidden="1">Sheet1!$A$6:$AK$318</definedName>
    <definedName name="Z_97F6C5A1_2596_4037_A854_1D6AE8A1071E_.wvu.FilterData" localSheetId="0" hidden="1">Sheet1!$A$6:$AK$318</definedName>
    <definedName name="Z_9980B309_0131_4577_BF29_212714399FDF_.wvu.FilterData" localSheetId="0" hidden="1">Sheet1!$A$1:$AK$318</definedName>
    <definedName name="Z_9980B309_0131_4577_BF29_212714399FDF_.wvu.PrintArea" localSheetId="0" hidden="1">Sheet1!$A$1:$AK$318</definedName>
    <definedName name="Z_9DE067B2_E801_456D_B5D0_CD5646CA5948_.wvu.FilterData" localSheetId="0" hidden="1">Sheet1!$A$1:$AK$305</definedName>
    <definedName name="Z_9EA5E3FA_46F1_4729_828C_4A08518018C1_.wvu.FilterData" localSheetId="0" hidden="1">Sheet1!$A$1:$AK$305</definedName>
    <definedName name="Z_9EA5E3FA_46F1_4729_828C_4A08518018C1_.wvu.PrintArea" localSheetId="0" hidden="1">Sheet1!$A$1:$AK$318</definedName>
    <definedName name="Z_9F268523_731B_48FE_86AA_1A6382332A83_.wvu.FilterData" localSheetId="0" hidden="1">Sheet1!$A$6:$AK$318</definedName>
    <definedName name="Z_A093D1FA_1747_4946_A02E_7D721604BB07_.wvu.FilterData" localSheetId="0" hidden="1">Sheet1!$B$1:$B$318</definedName>
    <definedName name="Z_A3134A53_5204_4FFF_BA84_3528D3179C0C_.wvu.FilterData" localSheetId="0" hidden="1">Sheet1!$A$3:$AK$214</definedName>
    <definedName name="Z_A5B1481C_EF26_486A_984F_85CDDC2FD94F_.wvu.FilterData" localSheetId="0" hidden="1">Sheet1!$A$1:$AK$318</definedName>
    <definedName name="Z_A5B1481C_EF26_486A_984F_85CDDC2FD94F_.wvu.PrintArea" localSheetId="0" hidden="1">Sheet1!$A$1:$AK$318</definedName>
    <definedName name="Z_A87F3E0E_3A8E_4B82_8170_33752259B7DB_.wvu.FilterData" localSheetId="0" hidden="1">Sheet1!$A$6:$AK$318</definedName>
    <definedName name="Z_A87F3E0E_3A8E_4B82_8170_33752259B7DB_.wvu.PrintArea" localSheetId="0" hidden="1">Sheet1!$A$1:$AK$318</definedName>
    <definedName name="Z_AD1D8E66_18A9_4CB7_BBE4_02F7E757257F_.wvu.FilterData" localSheetId="0" hidden="1">Sheet1!$A$1:$AK$318</definedName>
    <definedName name="Z_AE58BCBC_9F06_4E6C_A28B_2F5626DD7C1B_.wvu.FilterData" localSheetId="0" hidden="1">Sheet1!$A$6:$AK$318</definedName>
    <definedName name="Z_AE8F3F1B_FDCB_45A5_9CC8_53B4E3A0445E_.wvu.FilterData" localSheetId="0" hidden="1">Sheet1!$A$1:$AK$305</definedName>
    <definedName name="Z_AECBC9F6_D9DE_4043_9C2F_160F7ECDAD3D_.wvu.FilterData" localSheetId="0" hidden="1">Sheet1!$A$6:$AK$318</definedName>
    <definedName name="Z_B31B819C_CFEB_4B80_9AED_AC603C39BE78_.wvu.FilterData" localSheetId="0" hidden="1">Sheet1!$A$6:$AK$318</definedName>
    <definedName name="Z_B407928D_3938_4D05_B2B2_40B4F21D0436_.wvu.FilterData" localSheetId="0" hidden="1">Sheet1!$A$6:$AK$6</definedName>
    <definedName name="Z_B5BED753_4D8C_498E_8AE1_A08F7C0956F7_.wvu.FilterData" localSheetId="0" hidden="1">Sheet1!$A$7:$AK$318</definedName>
    <definedName name="Z_BBF2EF6C_D4AD_46E1_803F_582F4D45F852_.wvu.FilterData" localSheetId="0" hidden="1">Sheet1!$A$1:$AK$318</definedName>
    <definedName name="Z_BDA3804A_96FA_4D9F_AFED_695788A754E9_.wvu.FilterData" localSheetId="0" hidden="1">Sheet1!$A$6:$AK$218</definedName>
    <definedName name="Z_C3502361_AD2C_4705_878B_D12169ED60B1_.wvu.FilterData" localSheetId="0" hidden="1">Sheet1!$A$6:$AK$318</definedName>
    <definedName name="Z_C3502361_AD2C_4705_878B_D12169ED60B1_.wvu.PrintArea" localSheetId="0" hidden="1">Sheet1!$A$1:$AK$318</definedName>
    <definedName name="Z_C408A2F1_296F_4EAD_B15B_336D73846FDD_.wvu.FilterData" localSheetId="0" hidden="1">Sheet1!$A$1:$AK$318</definedName>
    <definedName name="Z_C408A2F1_296F_4EAD_B15B_336D73846FDD_.wvu.PrintArea" localSheetId="0" hidden="1">Sheet1!$A$1:$AK$318</definedName>
    <definedName name="Z_C4E44235_F714_4BCE_B2B0_F4813D3BDF91_.wvu.FilterData" localSheetId="0" hidden="1">Sheet1!$A$6:$AK$318</definedName>
    <definedName name="Z_C71F80D5_B6C1_4ED9_B18D_D719D69F5A47_.wvu.FilterData" localSheetId="0" hidden="1">Sheet1!$A$6:$AK$318</definedName>
    <definedName name="Z_C90ECED7_D145_417E_BB55_4FC7FD4BF46C_.wvu.FilterData" localSheetId="0" hidden="1">Sheet1!$A$1:$AK$305</definedName>
    <definedName name="Z_CAB79FAE_AA32_4D62_A794_A6DB6513D801_.wvu.FilterData" localSheetId="0" hidden="1">Sheet1!$A$6:$AK$318</definedName>
    <definedName name="Z_CC51448C_22F6_4583_82CD_2835AD1A82D7_.wvu.FilterData" localSheetId="0" hidden="1">Sheet1!$A$1:$AK$214</definedName>
    <definedName name="Z_D1981FDB_7063_4FCF_8DD5_A549E616E6FF_.wvu.FilterData" localSheetId="0" hidden="1">Sheet1!$A$7:$AK$318</definedName>
    <definedName name="Z_D365E121_F95E_415A_8CA0_9EA7ECCC60F5_.wvu.FilterData" localSheetId="0" hidden="1">Sheet1!$A$6:$AK$318</definedName>
    <definedName name="Z_D56F5ED6_74F2_4AA3_9A98_EE5750FE63AF_.wvu.FilterData" localSheetId="0" hidden="1">Sheet1!$A$6:$AK$318</definedName>
    <definedName name="Z_D802EE0F_98B9_4410_B31B_4ACC0EC9C9BC_.wvu.FilterData" localSheetId="0" hidden="1">Sheet1!$A$6:$AK$318</definedName>
    <definedName name="Z_DAD27C7B_8B8A_46CB_98B5_59B1D1EFC319_.wvu.FilterData" localSheetId="0" hidden="1">Sheet1!$A$7:$AK$318</definedName>
    <definedName name="Z_DB41C7D7_14F0_4834_A7BD_0F1115A89C8E_.wvu.FilterData" localSheetId="0" hidden="1">Sheet1!$A$6:$AK$318</definedName>
    <definedName name="Z_DB43929D_F4B7_43FF_975F_960476D189E8_.wvu.FilterData" localSheetId="0" hidden="1">Sheet1!$A$6:$AK$318</definedName>
    <definedName name="Z_DB51BB9F_5710_40B0_80E7_39B059BFD11D_.wvu.FilterData" localSheetId="0" hidden="1">Sheet1!$A$1:$AK$318</definedName>
    <definedName name="Z_DB51BB9F_5710_40B0_80E7_39B059BFD11D_.wvu.PrintArea" localSheetId="0" hidden="1">Sheet1!$A$1:$AK$318</definedName>
    <definedName name="Z_DD93CA86_AFD6_4C47_828D_70472BFCD288_.wvu.FilterData" localSheetId="0" hidden="1">Sheet1!$A$6:$AK$318</definedName>
    <definedName name="Z_DE09B69C_7EEF_4060_8E06_F7DEC4B96D7E_.wvu.FilterData" localSheetId="0" hidden="1">Sheet1!$A$6:$AK$318</definedName>
    <definedName name="Z_E64C6006_DE37_44CA_8083_01C511E323D9_.wvu.FilterData" localSheetId="0" hidden="1">Sheet1!$A$3:$AK$214</definedName>
    <definedName name="Z_E875C76B_3648_4C9A_A6B2_C3654837AAAC_.wvu.FilterData" localSheetId="0" hidden="1">Sheet1!$A$7:$AK$318</definedName>
    <definedName name="Z_EA64E7D7_BA48_4965_B650_778AE412FE0C_.wvu.FilterData" localSheetId="0" hidden="1">Sheet1!$A$1:$AK$318</definedName>
    <definedName name="Z_EA64E7D7_BA48_4965_B650_778AE412FE0C_.wvu.PrintArea" localSheetId="0" hidden="1">Sheet1!$A$1:$AK$318</definedName>
    <definedName name="Z_EB0F2E6A_FA33_479E_9A47_8E3494FBB4DE_.wvu.FilterData" localSheetId="0" hidden="1">Sheet1!$A$6:$AK$318</definedName>
    <definedName name="Z_EB0F2E6A_FA33_479E_9A47_8E3494FBB4DE_.wvu.PrintArea" localSheetId="0" hidden="1">Sheet1!$A$1:$AK$318</definedName>
    <definedName name="Z_EEA37434_2D22_478B_B49F_C3E8CD4AC2E1_.wvu.FilterData" localSheetId="0" hidden="1">Sheet1!$A$6:$AK$318</definedName>
    <definedName name="Z_EEA37434_2D22_478B_B49F_C3E8CD4AC2E1_.wvu.PrintArea" localSheetId="0" hidden="1">Sheet1!$A$1:$AK$318</definedName>
    <definedName name="Z_EF10298D_3F59_43F1_9A86_8C1CCA3B5D93_.wvu.FilterData" localSheetId="0" hidden="1">Sheet1!$A$6:$AK$318</definedName>
    <definedName name="Z_EF10298D_3F59_43F1_9A86_8C1CCA3B5D93_.wvu.PrintArea" localSheetId="0" hidden="1">Sheet1!$A$1:$AK$318</definedName>
    <definedName name="Z_EFE45138_A2B3_46EB_8A69_D9745D73FBF5_.wvu.FilterData" localSheetId="0" hidden="1">Sheet1!$A$6:$AK$318</definedName>
    <definedName name="Z_F52D90D4_508D_43B6_8295_6D179E5F0FEB_.wvu.FilterData" localSheetId="0" hidden="1">Sheet1!$A$6:$AK$318</definedName>
    <definedName name="Z_F952A18B_3430_4F65_89F2_B7C17998F981_.wvu.FilterData" localSheetId="0" hidden="1">Sheet1!$A$6:$AK$318</definedName>
    <definedName name="Z_FCCA78F5_8D30_45DE_9D44_7E25322461D6_.wvu.FilterData" localSheetId="0" hidden="1">Sheet1!$A$1:$AK$318</definedName>
    <definedName name="Z_FCCA78F5_8D30_45DE_9D44_7E25322461D6_.wvu.PrintArea" localSheetId="0" hidden="1">Sheet1!$A$1:$AK$318</definedName>
    <definedName name="Z_FE50EAC0_52A5_4C33_B973_65E93D03D3EA_.wvu.FilterData" localSheetId="0" hidden="1">Sheet1!$A$1:$AK$318</definedName>
    <definedName name="Z_FE50EAC0_52A5_4C33_B973_65E93D03D3EA_.wvu.PrintArea" localSheetId="0" hidden="1">Sheet1!$A$1:$AK$318</definedName>
    <definedName name="Z_FFC44E67_8559_4D31_893D_BF5BA4229E04_.wvu.FilterData" localSheetId="0" hidden="1">Sheet1!$A$1:$AK$305</definedName>
  </definedNames>
  <calcPr calcId="181029"/>
  <customWorkbookViews>
    <customWorkbookView name="steluta.bulaceanu - Personal View" guid="{00A99CA1-F635-44AE-9E4D-C2CEC4CEF175}" mergeInterval="0" personalView="1" maximized="1" xWindow="-8" yWindow="-8" windowWidth="1936" windowHeight="1056" tabRatio="154" activeSheetId="1"/>
    <customWorkbookView name="maria.petre - Personal View" guid="{7C1B4D6D-D666-48DD-AB17-E00791B6F0B6}" mergeInterval="0" personalView="1" maximized="1" xWindow="1912" yWindow="-8" windowWidth="1936" windowHeight="1056" tabRatio="154" activeSheetId="1"/>
    <customWorkbookView name="ovidiu.dumitrache - Personal View" guid="{FE50EAC0-52A5-4C33-B973-65E93D03D3EA}" mergeInterval="0" personalView="1" maximized="1" xWindow="1912" yWindow="-8" windowWidth="1936" windowHeight="1056" tabRatio="154" activeSheetId="1"/>
    <customWorkbookView name="vlad.pereteanu - Personal View" guid="{5AAA4DFE-88B1-4674-95ED-5FCD7A50BC22}" mergeInterval="0" personalView="1" maximized="1" xWindow="-8" yWindow="-8" windowWidth="1936" windowHeight="1056" tabRatio="154" activeSheetId="1"/>
    <customWorkbookView name="luminita.jipa - Personal View" guid="{A87F3E0E-3A8E-4B82-8170-33752259B7DB}" mergeInterval="0" personalView="1" xWindow="2173" yWindow="58" windowWidth="1440" windowHeight="759" tabRatio="154" activeSheetId="1"/>
    <customWorkbookView name="otilia.chirita - Personal View" guid="{0781B6C2-B440-4971-9809-BD16245A70FD}" mergeInterval="0" personalView="1" maximized="1" xWindow="1912" yWindow="-8" windowWidth="1936" windowHeight="1056" tabRatio="154" activeSheetId="1"/>
    <customWorkbookView name="ana.ionescu - Personal View" guid="{9980B309-0131-4577-BF29-212714399FDF}" mergeInterval="0" personalView="1" maximized="1" xWindow="1912" yWindow="-8" windowWidth="1936" windowHeight="1056" tabRatio="154" activeSheetId="1"/>
    <customWorkbookView name="cristian.airinei - Personal View" guid="{A5B1481C-EF26-486A-984F-85CDDC2FD94F}"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georgiana.dobre - Personal View" guid="{C408A2F1-296F-4EAD-B15B-336D73846FDD}" mergeInterval="0" personalView="1" maximized="1" xWindow="1912" yWindow="-8" windowWidth="1936" windowHeight="1056" tabRatio="154" activeSheetId="1"/>
    <customWorkbookView name="daniela.voicu - Personal View" guid="{EA64E7D7-BA48-4965-B650-778AE412FE0C}"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corina.pelmus - Personal View" guid="{EB0F2E6A-FA33-479E-9A47-8E3494FBB4DE}" mergeInterval="0" personalView="1" maximized="1" xWindow="-8" yWindow="-8" windowWidth="1936" windowHeight="1056" tabRatio="154" activeSheetId="1"/>
    <customWorkbookView name="mihaela.nicolae - Personal View" guid="{EF10298D-3F59-43F1-9A86-8C1CCA3B5D93}" mergeInterval="0" personalView="1" maximized="1" xWindow="1912"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raluca.georgescu - Personal View" guid="{901F9774-8BE7-424D-87C2-1026F3FA2E93}" mergeInterval="0" personalView="1" maximized="1" xWindow="-8" yWindow="-8" windowWidth="1936" windowHeight="1056" tabRatio="154" activeSheetId="1"/>
    <customWorkbookView name="mariana.moraru - Personal View" guid="{65C35D6D-934F-4431-BA92-90255FC17BA4}"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elisabeta.trifan - Personal View" guid="{36624B2D-80F9-4F79-AC4A-B3547C36F23F}" mergeInterval="0" personalView="1" maximized="1" xWindow="-8" yWindow="-8" windowWidth="1936" windowHeight="1056" tabRatio="154" activeSheetId="1"/>
    <customWorkbookView name="mircea.pavel - Personal View" guid="{FCCA78F5-8D30-45DE-9D44-7E25322461D6}" mergeInterval="0" personalView="1" maximized="1" xWindow="-8" yWindow="-8" windowWidth="1936" windowHeight="1056" tabRatio="154"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1" i="1" l="1"/>
  <c r="Y21" i="1"/>
  <c r="V21" i="1"/>
  <c r="S21" i="1"/>
  <c r="AE21" i="1" l="1"/>
  <c r="AG21" i="1" s="1"/>
  <c r="AJ60" i="1" l="1"/>
  <c r="AK143" i="1"/>
  <c r="AJ143" i="1"/>
  <c r="AJ136" i="1"/>
  <c r="AJ226" i="1" l="1"/>
  <c r="AJ222" i="1"/>
  <c r="AJ253" i="1"/>
  <c r="AJ210" i="1"/>
  <c r="AJ208" i="1"/>
  <c r="AJ267" i="1"/>
  <c r="AJ181" i="1"/>
  <c r="AJ180" i="1"/>
  <c r="AJ175" i="1"/>
  <c r="AJ169" i="1"/>
  <c r="AJ174" i="1"/>
  <c r="AJ173" i="1"/>
  <c r="AJ172" i="1"/>
  <c r="AJ171" i="1"/>
  <c r="AJ170" i="1"/>
  <c r="AJ197" i="1"/>
  <c r="AJ168" i="1"/>
  <c r="AJ167" i="1"/>
  <c r="AJ166" i="1"/>
  <c r="AJ209" i="1"/>
  <c r="AJ177" i="1"/>
  <c r="AK65" i="1"/>
  <c r="AJ65" i="1"/>
  <c r="AJ124" i="1"/>
  <c r="AK12" i="1"/>
  <c r="AJ12" i="1"/>
  <c r="AK117" i="1"/>
  <c r="AJ117" i="1"/>
  <c r="AJ67" i="1"/>
  <c r="AK9" i="1"/>
  <c r="AJ9" i="1"/>
  <c r="AK111" i="1"/>
  <c r="AJ111" i="1"/>
  <c r="AJ101" i="1"/>
  <c r="AK22" i="1"/>
  <c r="AJ22" i="1"/>
  <c r="AK80" i="1"/>
  <c r="AJ80" i="1"/>
  <c r="AK20" i="1"/>
  <c r="AJ20" i="1"/>
  <c r="AJ275" i="1"/>
  <c r="AJ241" i="1"/>
  <c r="AK250" i="1"/>
  <c r="AJ250" i="1"/>
  <c r="AK266" i="1"/>
  <c r="AJ266" i="1"/>
  <c r="AK242" i="1"/>
  <c r="AJ242" i="1"/>
  <c r="AK280" i="1"/>
  <c r="AJ280" i="1"/>
  <c r="AJ68" i="1"/>
  <c r="AJ93" i="1" l="1"/>
  <c r="AJ66" i="1"/>
  <c r="AJ63" i="1"/>
  <c r="AJ127" i="1"/>
  <c r="AJ116" i="1"/>
  <c r="AJ76" i="1"/>
  <c r="AJ29" i="1"/>
  <c r="AK94" i="1"/>
  <c r="AJ94" i="1"/>
  <c r="AJ131" i="1"/>
  <c r="AK131" i="1"/>
  <c r="AJ88" i="1"/>
  <c r="AK10" i="1"/>
  <c r="AJ10" i="1"/>
  <c r="AJ118" i="1"/>
  <c r="AJ99" i="1"/>
  <c r="AJ89" i="1"/>
  <c r="AK89" i="1"/>
  <c r="AK75" i="1"/>
  <c r="AJ75" i="1"/>
  <c r="AK60" i="1"/>
  <c r="AJ184" i="1" l="1"/>
  <c r="AJ183" i="1"/>
  <c r="AK105" i="1"/>
  <c r="AJ105" i="1"/>
  <c r="AJ110" i="1"/>
  <c r="AK245" i="1"/>
  <c r="AJ245" i="1"/>
  <c r="AK188" i="1"/>
  <c r="AJ188" i="1"/>
  <c r="AK187" i="1"/>
  <c r="AJ187" i="1"/>
  <c r="AK186" i="1"/>
  <c r="AJ186" i="1"/>
  <c r="AK130" i="1"/>
  <c r="AJ130" i="1"/>
  <c r="AK129" i="1"/>
  <c r="AJ129" i="1"/>
  <c r="AK128" i="1"/>
  <c r="AJ128" i="1"/>
  <c r="AJ119" i="1"/>
  <c r="AK110" i="1"/>
  <c r="AK107" i="1"/>
  <c r="AJ107" i="1"/>
  <c r="AK100" i="1"/>
  <c r="AJ100" i="1"/>
  <c r="AK97" i="1"/>
  <c r="AJ97" i="1"/>
  <c r="AK92" i="1"/>
  <c r="AJ92" i="1"/>
  <c r="AK91" i="1"/>
  <c r="AJ91" i="1"/>
  <c r="AK87" i="1"/>
  <c r="AJ87" i="1"/>
  <c r="AK78" i="1"/>
  <c r="AJ78" i="1"/>
  <c r="AK62" i="1"/>
  <c r="AJ62" i="1"/>
  <c r="AK57" i="1"/>
  <c r="AJ57" i="1"/>
  <c r="AK55" i="1"/>
  <c r="AJ55" i="1"/>
  <c r="AK54" i="1"/>
  <c r="AJ54" i="1"/>
  <c r="AK35" i="1"/>
  <c r="AJ35" i="1"/>
  <c r="AK34" i="1"/>
  <c r="AJ34" i="1"/>
  <c r="AK30" i="1"/>
  <c r="AJ30" i="1"/>
  <c r="AK25" i="1"/>
  <c r="AJ25" i="1"/>
  <c r="AK18" i="1"/>
  <c r="AJ18" i="1"/>
  <c r="AK14" i="1"/>
  <c r="AJ14" i="1"/>
  <c r="AK40" i="1"/>
  <c r="AJ40" i="1"/>
  <c r="AJ310" i="1"/>
  <c r="AJ304" i="1"/>
  <c r="AJ302" i="1"/>
  <c r="AJ300" i="1"/>
  <c r="AJ299" i="1"/>
  <c r="AJ298" i="1"/>
  <c r="AK295" i="1"/>
  <c r="AJ295" i="1"/>
  <c r="AJ294" i="1"/>
  <c r="AJ293" i="1"/>
  <c r="AJ291" i="1"/>
  <c r="AJ290" i="1"/>
  <c r="AJ288" i="1"/>
  <c r="AJ286" i="1"/>
  <c r="AJ285" i="1"/>
  <c r="AJ284" i="1"/>
  <c r="AJ283" i="1"/>
  <c r="AJ282" i="1"/>
  <c r="AK279" i="1"/>
  <c r="AJ279" i="1"/>
  <c r="AK277" i="1"/>
  <c r="AJ277" i="1"/>
  <c r="AK274" i="1"/>
  <c r="AJ274" i="1"/>
  <c r="AJ273" i="1"/>
  <c r="AJ270" i="1"/>
  <c r="AK269" i="1"/>
  <c r="AJ268" i="1"/>
  <c r="AK264" i="1"/>
  <c r="AJ264" i="1"/>
  <c r="AK263" i="1"/>
  <c r="AJ263" i="1"/>
  <c r="AJ262" i="1"/>
  <c r="AK261" i="1"/>
  <c r="AJ261" i="1"/>
  <c r="AK260" i="1"/>
  <c r="AJ260" i="1"/>
  <c r="AK258" i="1"/>
  <c r="AJ258" i="1"/>
  <c r="AK257" i="1"/>
  <c r="AJ257" i="1"/>
  <c r="AJ256" i="1"/>
  <c r="AK255" i="1"/>
  <c r="AJ255" i="1"/>
  <c r="AK254" i="1"/>
  <c r="AJ254" i="1"/>
  <c r="AK252" i="1"/>
  <c r="AJ252" i="1"/>
  <c r="AK251" i="1"/>
  <c r="AJ251" i="1"/>
  <c r="AK249" i="1"/>
  <c r="AJ249" i="1"/>
  <c r="AJ248" i="1"/>
  <c r="AK247" i="1"/>
  <c r="AJ247" i="1"/>
  <c r="AK246" i="1"/>
  <c r="AJ246" i="1"/>
  <c r="AK244" i="1"/>
  <c r="AJ244" i="1"/>
  <c r="AJ243" i="1"/>
  <c r="AK240" i="1"/>
  <c r="AJ240" i="1"/>
  <c r="AK238" i="1"/>
  <c r="AJ238" i="1"/>
  <c r="AK236" i="1"/>
  <c r="AJ236" i="1"/>
  <c r="AK235" i="1"/>
  <c r="AJ235" i="1"/>
  <c r="AK233" i="1"/>
  <c r="AJ233" i="1"/>
  <c r="AK232" i="1"/>
  <c r="AJ232" i="1"/>
  <c r="AK231" i="1"/>
  <c r="AJ231" i="1"/>
  <c r="AK229" i="1"/>
  <c r="AJ229" i="1"/>
  <c r="AK228" i="1"/>
  <c r="AJ228" i="1"/>
  <c r="AK227" i="1"/>
  <c r="AJ227" i="1"/>
  <c r="AK224" i="1"/>
  <c r="AJ224" i="1"/>
  <c r="AK223" i="1" l="1"/>
  <c r="AJ223" i="1"/>
  <c r="AK220" i="1"/>
  <c r="AJ220" i="1"/>
  <c r="AK219" i="1"/>
  <c r="AJ219" i="1"/>
  <c r="AK218" i="1"/>
  <c r="AJ218" i="1"/>
  <c r="AK217" i="1" l="1"/>
  <c r="AJ217" i="1"/>
  <c r="AK216" i="1"/>
  <c r="AJ216" i="1"/>
  <c r="AK214" i="1"/>
  <c r="AJ214" i="1"/>
  <c r="AK212" i="1"/>
  <c r="AJ212" i="1"/>
  <c r="AK211" i="1"/>
  <c r="AJ211" i="1"/>
  <c r="AK207" i="1"/>
  <c r="AJ207" i="1"/>
  <c r="AK205" i="1"/>
  <c r="AJ205" i="1"/>
  <c r="AK202" i="1"/>
  <c r="AJ202" i="1"/>
  <c r="AK201" i="1"/>
  <c r="AJ201" i="1"/>
  <c r="AK200" i="1" l="1"/>
  <c r="AJ200" i="1"/>
  <c r="AK199" i="1"/>
  <c r="AJ199" i="1"/>
  <c r="AK198" i="1"/>
  <c r="AJ198" i="1"/>
  <c r="AK196" i="1"/>
  <c r="AJ196" i="1"/>
  <c r="AK195" i="1"/>
  <c r="AJ195" i="1"/>
  <c r="AK194" i="1"/>
  <c r="AJ194" i="1"/>
  <c r="AK193" i="1"/>
  <c r="AJ193" i="1"/>
  <c r="AK192" i="1"/>
  <c r="AJ192" i="1"/>
  <c r="AK191" i="1"/>
  <c r="AJ191" i="1"/>
  <c r="AK190" i="1"/>
  <c r="AJ190" i="1"/>
  <c r="AK189" i="1"/>
  <c r="AJ189" i="1"/>
  <c r="AK185" i="1"/>
  <c r="AJ185" i="1"/>
  <c r="AB50" i="1" l="1"/>
  <c r="S86" i="1" l="1"/>
  <c r="V86" i="1"/>
  <c r="Y86" i="1"/>
  <c r="AB86" i="1"/>
  <c r="AE86" i="1" l="1"/>
  <c r="AG86" i="1" s="1"/>
  <c r="AB13" i="1"/>
  <c r="Y13" i="1"/>
  <c r="V13" i="1"/>
  <c r="S13" i="1"/>
  <c r="M86" i="1" l="1"/>
  <c r="AE13" i="1"/>
  <c r="AG13" i="1" s="1"/>
  <c r="AB115" i="1"/>
  <c r="Y115" i="1"/>
  <c r="V115" i="1"/>
  <c r="S115" i="1"/>
  <c r="M13" i="1" l="1"/>
  <c r="AE115" i="1"/>
  <c r="AG115" i="1" s="1"/>
  <c r="Y96" i="1"/>
  <c r="Y103" i="1"/>
  <c r="M115" i="1" l="1"/>
  <c r="AB33" i="1"/>
  <c r="V77" i="1"/>
  <c r="S77" i="1"/>
  <c r="AB314" i="1" l="1"/>
  <c r="AB315" i="1"/>
  <c r="AB316" i="1"/>
  <c r="Y314" i="1"/>
  <c r="Y315" i="1"/>
  <c r="Y316" i="1"/>
  <c r="V314" i="1"/>
  <c r="V315" i="1"/>
  <c r="V316" i="1"/>
  <c r="S314" i="1"/>
  <c r="S315" i="1"/>
  <c r="S316" i="1"/>
  <c r="AE314" i="1" l="1"/>
  <c r="M314" i="1" s="1"/>
  <c r="AE316" i="1"/>
  <c r="AG316" i="1" s="1"/>
  <c r="AE315" i="1"/>
  <c r="AG315" i="1" s="1"/>
  <c r="AG314" i="1" l="1"/>
  <c r="M316" i="1"/>
  <c r="M315" i="1"/>
  <c r="Y33" i="1"/>
  <c r="V33" i="1"/>
  <c r="S33" i="1"/>
  <c r="AE33" i="1" l="1"/>
  <c r="V313" i="1"/>
  <c r="M33" i="1" l="1"/>
  <c r="AG33" i="1"/>
  <c r="AB90" i="1"/>
  <c r="Y90" i="1"/>
  <c r="V90" i="1"/>
  <c r="S90" i="1"/>
  <c r="AE90" i="1" l="1"/>
  <c r="AG90" i="1" l="1"/>
  <c r="M90" i="1"/>
  <c r="M21" i="1" l="1"/>
  <c r="AB103" i="1"/>
  <c r="V103" i="1"/>
  <c r="S103" i="1"/>
  <c r="AB83" i="1"/>
  <c r="AB84" i="1"/>
  <c r="Y83" i="1"/>
  <c r="Y84" i="1"/>
  <c r="V83" i="1"/>
  <c r="V84" i="1"/>
  <c r="S83" i="1"/>
  <c r="S84" i="1"/>
  <c r="Y77" i="1"/>
  <c r="Y76" i="1"/>
  <c r="AB77" i="1"/>
  <c r="AB73" i="1"/>
  <c r="AB72" i="1"/>
  <c r="AB71" i="1"/>
  <c r="Y73" i="1"/>
  <c r="V73" i="1"/>
  <c r="S73" i="1"/>
  <c r="AB39" i="1"/>
  <c r="Y39" i="1"/>
  <c r="V39" i="1"/>
  <c r="S39" i="1"/>
  <c r="AB24" i="1"/>
  <c r="Y24" i="1"/>
  <c r="S24" i="1"/>
  <c r="V24" i="1"/>
  <c r="AE77" i="1" l="1"/>
  <c r="AE83" i="1"/>
  <c r="AE39" i="1"/>
  <c r="AG39" i="1" s="1"/>
  <c r="AE84" i="1"/>
  <c r="AG84" i="1" s="1"/>
  <c r="AE103" i="1"/>
  <c r="AE73" i="1"/>
  <c r="AE24" i="1"/>
  <c r="AG73" i="1" l="1"/>
  <c r="AG103" i="1"/>
  <c r="AG83" i="1"/>
  <c r="AG24" i="1"/>
  <c r="AG77" i="1"/>
  <c r="M83" i="1"/>
  <c r="M84" i="1"/>
  <c r="M77" i="1"/>
  <c r="M39" i="1"/>
  <c r="M103" i="1"/>
  <c r="M73" i="1"/>
  <c r="M24" i="1"/>
  <c r="AB38" i="1" l="1"/>
  <c r="Y38" i="1"/>
  <c r="V38" i="1"/>
  <c r="S38" i="1"/>
  <c r="AE38" i="1" l="1"/>
  <c r="M38" i="1" l="1"/>
  <c r="AG38" i="1"/>
  <c r="AJ206" i="1"/>
  <c r="AB61" i="1"/>
  <c r="Y61" i="1"/>
  <c r="V61" i="1"/>
  <c r="S61" i="1"/>
  <c r="AE61" i="1" l="1"/>
  <c r="AG61" i="1" l="1"/>
  <c r="M61" i="1"/>
  <c r="Y69" i="1"/>
  <c r="V69" i="1"/>
  <c r="S69" i="1"/>
  <c r="AJ28" i="1"/>
  <c r="AE69" i="1" l="1"/>
  <c r="AJ259" i="1"/>
  <c r="AK204" i="1"/>
  <c r="AJ204" i="1"/>
  <c r="AJ281" i="1"/>
  <c r="AJ237" i="1"/>
  <c r="AJ230" i="1"/>
  <c r="AG69" i="1" l="1"/>
  <c r="M69" i="1"/>
  <c r="AK74" i="1"/>
  <c r="AJ74" i="1"/>
  <c r="AK7" i="1"/>
  <c r="AJ7" i="1"/>
  <c r="AK8" i="1"/>
  <c r="AJ8" i="1"/>
  <c r="AK79" i="1"/>
  <c r="AJ79" i="1"/>
  <c r="AK17" i="1"/>
  <c r="AJ17" i="1"/>
  <c r="AK70" i="1"/>
  <c r="AJ70" i="1"/>
  <c r="AJ215" i="1"/>
  <c r="AJ163" i="1"/>
  <c r="AJ182" i="1"/>
  <c r="AJ178" i="1"/>
  <c r="AJ176" i="1"/>
  <c r="AJ155" i="1"/>
  <c r="AJ152" i="1"/>
  <c r="AJ150" i="1"/>
  <c r="AB259" i="1" l="1"/>
  <c r="AB132" i="1" l="1"/>
  <c r="AB133" i="1"/>
  <c r="Y131" i="1"/>
  <c r="Y132" i="1"/>
  <c r="Y133" i="1"/>
  <c r="V131" i="1"/>
  <c r="V132" i="1"/>
  <c r="V133" i="1"/>
  <c r="S132" i="1"/>
  <c r="S133" i="1"/>
  <c r="S131" i="1"/>
  <c r="AE133" i="1" l="1"/>
  <c r="AE132" i="1"/>
  <c r="AG132" i="1" l="1"/>
  <c r="AG133" i="1"/>
  <c r="M132" i="1"/>
  <c r="M133" i="1"/>
  <c r="AB82" i="1"/>
  <c r="Y82" i="1"/>
  <c r="V82" i="1"/>
  <c r="S82" i="1"/>
  <c r="AB81" i="1"/>
  <c r="AE81" i="1" s="1"/>
  <c r="AE82" i="1" l="1"/>
  <c r="AG82" i="1" s="1"/>
  <c r="M81" i="1"/>
  <c r="AG81" i="1"/>
  <c r="M82" i="1" l="1"/>
  <c r="Y72" i="1"/>
  <c r="V72" i="1"/>
  <c r="S72" i="1"/>
  <c r="AE72" i="1" l="1"/>
  <c r="Y50" i="1"/>
  <c r="V50" i="1"/>
  <c r="S50" i="1"/>
  <c r="AG72" i="1" l="1"/>
  <c r="M72" i="1"/>
  <c r="AE50" i="1"/>
  <c r="M50" i="1" l="1"/>
  <c r="AG50" i="1"/>
  <c r="AB135" i="1"/>
  <c r="Y135" i="1"/>
  <c r="V135" i="1"/>
  <c r="S135" i="1"/>
  <c r="AE135" i="1" l="1"/>
  <c r="AG135" i="1" l="1"/>
  <c r="M135" i="1"/>
  <c r="Y113" i="1"/>
  <c r="S113" i="1"/>
  <c r="Y49" i="1" l="1"/>
  <c r="V49" i="1"/>
  <c r="S49" i="1"/>
  <c r="AE49" i="1" l="1"/>
  <c r="AB310" i="1" l="1"/>
  <c r="Y310" i="1"/>
  <c r="S104" i="1" l="1"/>
  <c r="V104" i="1"/>
  <c r="AB106" i="1" l="1"/>
  <c r="AB104" i="1"/>
  <c r="Y106" i="1"/>
  <c r="Y104" i="1"/>
  <c r="V106" i="1"/>
  <c r="S106" i="1"/>
  <c r="AE104" i="1" l="1"/>
  <c r="AE106" i="1"/>
  <c r="AG104" i="1" l="1"/>
  <c r="AG106" i="1"/>
  <c r="M106" i="1"/>
  <c r="M49" i="1"/>
  <c r="AG49" i="1"/>
  <c r="Y53" i="1"/>
  <c r="V53" i="1"/>
  <c r="S53" i="1"/>
  <c r="S52" i="1"/>
  <c r="AB307" i="1"/>
  <c r="Y307" i="1"/>
  <c r="S307" i="1"/>
  <c r="AB75" i="1" l="1"/>
  <c r="AE75" i="1" s="1"/>
  <c r="AB122" i="1"/>
  <c r="Y122" i="1"/>
  <c r="V122" i="1"/>
  <c r="S122" i="1"/>
  <c r="AB121" i="1"/>
  <c r="Y121" i="1"/>
  <c r="V121" i="1"/>
  <c r="S121" i="1"/>
  <c r="AE122" i="1" l="1"/>
  <c r="AE121" i="1"/>
  <c r="M75" i="1"/>
  <c r="AG75" i="1"/>
  <c r="AG121" i="1" l="1"/>
  <c r="AG122" i="1"/>
  <c r="M121" i="1"/>
  <c r="M122" i="1"/>
  <c r="Y304" i="1" l="1"/>
  <c r="AB318" i="1"/>
  <c r="AB317" i="1"/>
  <c r="AB313" i="1"/>
  <c r="AB312" i="1"/>
  <c r="AB311" i="1"/>
  <c r="AB309" i="1"/>
  <c r="AB308" i="1"/>
  <c r="AB306" i="1"/>
  <c r="Y318" i="1"/>
  <c r="Y317" i="1"/>
  <c r="Y313" i="1"/>
  <c r="Y312" i="1"/>
  <c r="Y311" i="1"/>
  <c r="Y309" i="1"/>
  <c r="Y308" i="1"/>
  <c r="Y306" i="1"/>
  <c r="V318" i="1"/>
  <c r="V317" i="1"/>
  <c r="V312" i="1"/>
  <c r="V311" i="1"/>
  <c r="V310" i="1"/>
  <c r="V309" i="1"/>
  <c r="V308" i="1"/>
  <c r="V307" i="1"/>
  <c r="V306" i="1"/>
  <c r="S318" i="1"/>
  <c r="S317" i="1"/>
  <c r="S313" i="1"/>
  <c r="S312" i="1"/>
  <c r="S311" i="1"/>
  <c r="S310" i="1"/>
  <c r="S309" i="1"/>
  <c r="S308" i="1"/>
  <c r="S306" i="1"/>
  <c r="AB305" i="1"/>
  <c r="Y305" i="1"/>
  <c r="V305" i="1"/>
  <c r="S305" i="1"/>
  <c r="AB304" i="1"/>
  <c r="V304" i="1"/>
  <c r="S304" i="1"/>
  <c r="V134" i="1"/>
  <c r="AB46" i="1"/>
  <c r="AB45" i="1"/>
  <c r="Y46" i="1"/>
  <c r="Y45" i="1"/>
  <c r="V46" i="1"/>
  <c r="V45" i="1"/>
  <c r="S46" i="1"/>
  <c r="S45" i="1"/>
  <c r="AK56" i="1"/>
  <c r="AJ56" i="1"/>
  <c r="AE308" i="1" l="1"/>
  <c r="AG308" i="1" s="1"/>
  <c r="AE311" i="1"/>
  <c r="AG311" i="1" s="1"/>
  <c r="AE318" i="1"/>
  <c r="AG318" i="1" s="1"/>
  <c r="AE304" i="1"/>
  <c r="M304" i="1" s="1"/>
  <c r="AE45" i="1"/>
  <c r="AE305" i="1"/>
  <c r="M305" i="1" s="1"/>
  <c r="AE312" i="1"/>
  <c r="AG312" i="1" s="1"/>
  <c r="AE46" i="1"/>
  <c r="AG46" i="1" s="1"/>
  <c r="AE307" i="1"/>
  <c r="AE310" i="1"/>
  <c r="AG310" i="1" s="1"/>
  <c r="AE317" i="1"/>
  <c r="AG317" i="1" s="1"/>
  <c r="AE306" i="1"/>
  <c r="AG306" i="1" s="1"/>
  <c r="AE309" i="1"/>
  <c r="AG309" i="1" s="1"/>
  <c r="AE313" i="1"/>
  <c r="M313" i="1" s="1"/>
  <c r="M317" i="1" l="1"/>
  <c r="M311" i="1"/>
  <c r="M318" i="1"/>
  <c r="M312" i="1"/>
  <c r="AG313" i="1"/>
  <c r="M46" i="1"/>
  <c r="AG45" i="1"/>
  <c r="M45" i="1"/>
  <c r="M310" i="1"/>
  <c r="AG307" i="1"/>
  <c r="M307" i="1"/>
  <c r="M306" i="1"/>
  <c r="M309" i="1"/>
  <c r="M308" i="1"/>
  <c r="AG304" i="1"/>
  <c r="AG305" i="1"/>
  <c r="AB301" i="1"/>
  <c r="Y301" i="1"/>
  <c r="V301" i="1"/>
  <c r="S301" i="1"/>
  <c r="V302" i="1" l="1"/>
  <c r="S296" i="1" l="1"/>
  <c r="S293" i="1" l="1"/>
  <c r="AB43" i="1" l="1"/>
  <c r="Y43" i="1"/>
  <c r="V43" i="1"/>
  <c r="S43" i="1"/>
  <c r="AE43" i="1" l="1"/>
  <c r="AJ138" i="1"/>
  <c r="AG43" i="1" l="1"/>
  <c r="M43" i="1"/>
  <c r="S105" i="1"/>
  <c r="Y71" i="1" l="1"/>
  <c r="AB283" i="1" l="1"/>
  <c r="Y283" i="1"/>
  <c r="V283" i="1"/>
  <c r="S283" i="1"/>
  <c r="AE283" i="1" l="1"/>
  <c r="AG283" i="1" s="1"/>
  <c r="Y114" i="1"/>
  <c r="M283" i="1" l="1"/>
  <c r="AB67" i="1"/>
  <c r="Y67" i="1"/>
  <c r="V67" i="1"/>
  <c r="S67" i="1"/>
  <c r="AE67" i="1" l="1"/>
  <c r="AG67" i="1" l="1"/>
  <c r="Y118" i="1"/>
  <c r="AB134" i="1"/>
  <c r="Y134" i="1"/>
  <c r="S134" i="1"/>
  <c r="AD277" i="1" l="1"/>
  <c r="AC277" i="1"/>
  <c r="X277" i="1"/>
  <c r="W277" i="1"/>
  <c r="U277" i="1"/>
  <c r="T277" i="1"/>
  <c r="Y22" i="1" l="1"/>
  <c r="V22" i="1"/>
  <c r="S22" i="1"/>
  <c r="AE22" i="1" l="1"/>
  <c r="AB94" i="1"/>
  <c r="Y94" i="1"/>
  <c r="V94" i="1"/>
  <c r="S94" i="1"/>
  <c r="AG22" i="1" l="1"/>
  <c r="AE94" i="1"/>
  <c r="AG94" i="1" l="1"/>
  <c r="M94" i="1"/>
  <c r="M67" i="1"/>
  <c r="M51" i="1"/>
  <c r="AB89" i="1" l="1"/>
  <c r="T89" i="1"/>
  <c r="Y48" i="1" l="1"/>
  <c r="S48" i="1"/>
  <c r="AB66" i="1"/>
  <c r="Y66" i="1"/>
  <c r="V66" i="1"/>
  <c r="S66" i="1"/>
  <c r="AE66" i="1" l="1"/>
  <c r="S95" i="1"/>
  <c r="M66" i="1" l="1"/>
  <c r="AG66" i="1"/>
  <c r="Y99" i="1" l="1"/>
  <c r="AB276" i="1" l="1"/>
  <c r="AB277" i="1"/>
  <c r="AB278" i="1"/>
  <c r="AB279" i="1"/>
  <c r="AB280" i="1"/>
  <c r="AB281" i="1"/>
  <c r="AB282" i="1"/>
  <c r="AB284" i="1"/>
  <c r="AB285" i="1"/>
  <c r="AB286" i="1"/>
  <c r="AB287" i="1"/>
  <c r="AB105" i="1"/>
  <c r="AB288" i="1"/>
  <c r="AB289" i="1"/>
  <c r="AB290" i="1"/>
  <c r="AB291" i="1"/>
  <c r="AB292" i="1"/>
  <c r="AB293" i="1"/>
  <c r="AB294" i="1"/>
  <c r="AB295" i="1"/>
  <c r="AB296" i="1"/>
  <c r="AB297" i="1"/>
  <c r="AB298" i="1"/>
  <c r="AB299" i="1"/>
  <c r="AB300" i="1"/>
  <c r="AB302" i="1"/>
  <c r="Y276" i="1"/>
  <c r="Y277" i="1"/>
  <c r="Y278" i="1"/>
  <c r="Y279" i="1"/>
  <c r="Y280" i="1"/>
  <c r="Y281" i="1"/>
  <c r="Y282" i="1"/>
  <c r="Y284" i="1"/>
  <c r="Y285" i="1"/>
  <c r="Y286" i="1"/>
  <c r="Y287" i="1"/>
  <c r="Y105" i="1"/>
  <c r="Y288" i="1"/>
  <c r="Y289" i="1"/>
  <c r="Y290" i="1"/>
  <c r="Y291" i="1"/>
  <c r="Y292" i="1"/>
  <c r="Y293" i="1"/>
  <c r="Y294" i="1"/>
  <c r="Y295" i="1"/>
  <c r="Y296" i="1"/>
  <c r="Y297" i="1"/>
  <c r="Y298" i="1"/>
  <c r="Y299" i="1"/>
  <c r="Y300" i="1"/>
  <c r="Y302" i="1"/>
  <c r="V276" i="1"/>
  <c r="V277" i="1"/>
  <c r="V278" i="1"/>
  <c r="V279" i="1"/>
  <c r="V280" i="1"/>
  <c r="V281" i="1"/>
  <c r="V282" i="1"/>
  <c r="V284" i="1"/>
  <c r="V285" i="1"/>
  <c r="V286" i="1"/>
  <c r="V287" i="1"/>
  <c r="V105" i="1"/>
  <c r="V288" i="1"/>
  <c r="V289" i="1"/>
  <c r="V290" i="1"/>
  <c r="V291" i="1"/>
  <c r="V292" i="1"/>
  <c r="V293" i="1"/>
  <c r="V294" i="1"/>
  <c r="V295" i="1"/>
  <c r="V296" i="1"/>
  <c r="V297" i="1"/>
  <c r="V298" i="1"/>
  <c r="V299" i="1"/>
  <c r="V300" i="1"/>
  <c r="S276" i="1"/>
  <c r="S277" i="1"/>
  <c r="S278" i="1"/>
  <c r="S279" i="1"/>
  <c r="S280" i="1"/>
  <c r="S281" i="1"/>
  <c r="S282" i="1"/>
  <c r="S284" i="1"/>
  <c r="S285" i="1"/>
  <c r="S286" i="1"/>
  <c r="S287" i="1"/>
  <c r="S288" i="1"/>
  <c r="S289" i="1"/>
  <c r="S290" i="1"/>
  <c r="S291" i="1"/>
  <c r="S292" i="1"/>
  <c r="S294" i="1"/>
  <c r="S295" i="1"/>
  <c r="S297" i="1"/>
  <c r="S298" i="1"/>
  <c r="S299" i="1"/>
  <c r="S300" i="1"/>
  <c r="S302" i="1"/>
  <c r="AE302" i="1" l="1"/>
  <c r="AG302" i="1" s="1"/>
  <c r="AE298" i="1"/>
  <c r="M298" i="1" s="1"/>
  <c r="AE294" i="1"/>
  <c r="M294" i="1" s="1"/>
  <c r="AE290" i="1"/>
  <c r="AG290" i="1" s="1"/>
  <c r="AE287" i="1"/>
  <c r="AG287" i="1" s="1"/>
  <c r="AE280" i="1"/>
  <c r="M280" i="1" s="1"/>
  <c r="AE276" i="1"/>
  <c r="AG276" i="1" s="1"/>
  <c r="AE299" i="1"/>
  <c r="AG299" i="1" s="1"/>
  <c r="AE295" i="1"/>
  <c r="AG295" i="1" s="1"/>
  <c r="AE291" i="1"/>
  <c r="AG291" i="1" s="1"/>
  <c r="AE105" i="1"/>
  <c r="AE284" i="1"/>
  <c r="AG284" i="1" s="1"/>
  <c r="AE277" i="1"/>
  <c r="AG277" i="1" s="1"/>
  <c r="AE300" i="1"/>
  <c r="AG300" i="1" s="1"/>
  <c r="AE296" i="1"/>
  <c r="AG296" i="1" s="1"/>
  <c r="AE292" i="1"/>
  <c r="AG292" i="1" s="1"/>
  <c r="AE288" i="1"/>
  <c r="AG288" i="1" s="1"/>
  <c r="AE285" i="1"/>
  <c r="AG285" i="1" s="1"/>
  <c r="AE281" i="1"/>
  <c r="AG281" i="1" s="1"/>
  <c r="AE278" i="1"/>
  <c r="AG278" i="1" s="1"/>
  <c r="AE301" i="1"/>
  <c r="M301" i="1" s="1"/>
  <c r="AE297" i="1"/>
  <c r="AG297" i="1" s="1"/>
  <c r="AE293" i="1"/>
  <c r="AG293" i="1" s="1"/>
  <c r="AE289" i="1"/>
  <c r="AG289" i="1" s="1"/>
  <c r="AE286" i="1"/>
  <c r="AG286" i="1" s="1"/>
  <c r="AE282" i="1"/>
  <c r="AG282" i="1" s="1"/>
  <c r="AE279" i="1"/>
  <c r="AG279" i="1" s="1"/>
  <c r="Z93" i="1"/>
  <c r="W93" i="1"/>
  <c r="T93" i="1"/>
  <c r="AG105" i="1" l="1"/>
  <c r="M297" i="1"/>
  <c r="AG298" i="1"/>
  <c r="M302" i="1"/>
  <c r="M282" i="1"/>
  <c r="M287" i="1"/>
  <c r="M281" i="1"/>
  <c r="M105" i="1"/>
  <c r="M284" i="1"/>
  <c r="M299" i="1"/>
  <c r="M296" i="1"/>
  <c r="M276" i="1"/>
  <c r="M290" i="1"/>
  <c r="M285" i="1"/>
  <c r="M300" i="1"/>
  <c r="AG280" i="1"/>
  <c r="AG294" i="1"/>
  <c r="M278" i="1"/>
  <c r="M293" i="1"/>
  <c r="M289" i="1"/>
  <c r="M286" i="1"/>
  <c r="M291" i="1"/>
  <c r="M292" i="1"/>
  <c r="M295" i="1"/>
  <c r="AG301" i="1"/>
  <c r="M288" i="1"/>
  <c r="M277" i="1"/>
  <c r="M279" i="1"/>
  <c r="Y60" i="1"/>
  <c r="AB267" i="1" l="1"/>
  <c r="Y267" i="1"/>
  <c r="V267" i="1"/>
  <c r="S267" i="1"/>
  <c r="AE267" i="1" l="1"/>
  <c r="AG267" i="1" s="1"/>
  <c r="S265" i="1"/>
  <c r="M267" i="1" l="1"/>
  <c r="AB131" i="1" l="1"/>
  <c r="AE131" i="1" s="1"/>
  <c r="AB28" i="1"/>
  <c r="Y28" i="1"/>
  <c r="V28" i="1"/>
  <c r="S28" i="1"/>
  <c r="M131" i="1" l="1"/>
  <c r="AG131" i="1"/>
  <c r="AE28" i="1"/>
  <c r="M28" i="1" s="1"/>
  <c r="V40" i="1"/>
  <c r="AG28" i="1" l="1"/>
  <c r="AB42" i="1"/>
  <c r="AB44" i="1"/>
  <c r="Y42" i="1"/>
  <c r="Y44" i="1"/>
  <c r="V42" i="1"/>
  <c r="V44" i="1"/>
  <c r="S42" i="1"/>
  <c r="S44" i="1"/>
  <c r="AE44" i="1" l="1"/>
  <c r="AG44" i="1" s="1"/>
  <c r="AE42" i="1"/>
  <c r="V91" i="1"/>
  <c r="M44" i="1" l="1"/>
  <c r="AG42" i="1"/>
  <c r="M42" i="1"/>
  <c r="AE20" i="1"/>
  <c r="M20" i="1" l="1"/>
  <c r="S253" i="1"/>
  <c r="AB97" i="1" l="1"/>
  <c r="Y97" i="1"/>
  <c r="V97" i="1"/>
  <c r="S97" i="1"/>
  <c r="AE97" i="1" l="1"/>
  <c r="AG97" i="1" l="1"/>
  <c r="M97" i="1"/>
  <c r="AB258" i="1"/>
  <c r="AB260" i="1"/>
  <c r="AB261" i="1"/>
  <c r="AB262" i="1"/>
  <c r="AB263" i="1"/>
  <c r="AB264" i="1"/>
  <c r="AB265" i="1"/>
  <c r="AB266" i="1"/>
  <c r="Y258" i="1"/>
  <c r="Y259" i="1"/>
  <c r="Y260" i="1"/>
  <c r="Y261" i="1"/>
  <c r="Y262" i="1"/>
  <c r="Y263" i="1"/>
  <c r="Y264" i="1"/>
  <c r="Y265" i="1"/>
  <c r="Y266" i="1"/>
  <c r="V258" i="1"/>
  <c r="V259" i="1"/>
  <c r="V260" i="1"/>
  <c r="V261" i="1"/>
  <c r="V262" i="1"/>
  <c r="V263" i="1"/>
  <c r="V264" i="1"/>
  <c r="V265" i="1"/>
  <c r="V266" i="1"/>
  <c r="S258" i="1"/>
  <c r="S259" i="1"/>
  <c r="S260" i="1"/>
  <c r="S261" i="1"/>
  <c r="S262" i="1"/>
  <c r="S263" i="1"/>
  <c r="S264" i="1"/>
  <c r="S266" i="1"/>
  <c r="AB254" i="1"/>
  <c r="AB255" i="1"/>
  <c r="AB256" i="1"/>
  <c r="AB257" i="1"/>
  <c r="AB268" i="1"/>
  <c r="AB269" i="1"/>
  <c r="AB270" i="1"/>
  <c r="AB271" i="1"/>
  <c r="AB272" i="1"/>
  <c r="AB273" i="1"/>
  <c r="AB274" i="1"/>
  <c r="AB275" i="1"/>
  <c r="AB303" i="1"/>
  <c r="Y254" i="1"/>
  <c r="Y255" i="1"/>
  <c r="Y256" i="1"/>
  <c r="Y257" i="1"/>
  <c r="Y268" i="1"/>
  <c r="Y269" i="1"/>
  <c r="Y270" i="1"/>
  <c r="Y271" i="1"/>
  <c r="Y272" i="1"/>
  <c r="Y273" i="1"/>
  <c r="V254" i="1"/>
  <c r="V255" i="1"/>
  <c r="V256" i="1"/>
  <c r="V257" i="1"/>
  <c r="V268" i="1"/>
  <c r="V269" i="1"/>
  <c r="V270" i="1"/>
  <c r="V271" i="1"/>
  <c r="V272" i="1"/>
  <c r="V273" i="1"/>
  <c r="V274" i="1"/>
  <c r="S254" i="1"/>
  <c r="S256" i="1"/>
  <c r="S257" i="1"/>
  <c r="S268" i="1"/>
  <c r="S269" i="1"/>
  <c r="S270" i="1"/>
  <c r="S271" i="1"/>
  <c r="S272" i="1"/>
  <c r="S273" i="1"/>
  <c r="Y274" i="1"/>
  <c r="S274" i="1"/>
  <c r="AE261" i="1" l="1"/>
  <c r="M261" i="1" s="1"/>
  <c r="AE265" i="1"/>
  <c r="AG265" i="1" s="1"/>
  <c r="AE273" i="1"/>
  <c r="AG273" i="1" s="1"/>
  <c r="AE269" i="1"/>
  <c r="AG269" i="1" s="1"/>
  <c r="AE255" i="1"/>
  <c r="AG255" i="1" s="1"/>
  <c r="AE268" i="1"/>
  <c r="AG268" i="1" s="1"/>
  <c r="AE270" i="1"/>
  <c r="AG270" i="1" s="1"/>
  <c r="AE256" i="1"/>
  <c r="AG256" i="1" s="1"/>
  <c r="AE263" i="1"/>
  <c r="AG263" i="1" s="1"/>
  <c r="AE259" i="1"/>
  <c r="AG259" i="1" s="1"/>
  <c r="AE264" i="1"/>
  <c r="AG264" i="1" s="1"/>
  <c r="AE260" i="1"/>
  <c r="M260" i="1" s="1"/>
  <c r="AE254" i="1"/>
  <c r="AG254" i="1" s="1"/>
  <c r="AE274" i="1"/>
  <c r="M274" i="1" s="1"/>
  <c r="AE271" i="1"/>
  <c r="M271" i="1" s="1"/>
  <c r="AE257" i="1"/>
  <c r="AG257" i="1" s="1"/>
  <c r="AE272" i="1"/>
  <c r="AG272" i="1" s="1"/>
  <c r="AE266" i="1"/>
  <c r="AG266" i="1" s="1"/>
  <c r="AE262" i="1"/>
  <c r="AG262" i="1" s="1"/>
  <c r="AE258" i="1"/>
  <c r="AG258" i="1" s="1"/>
  <c r="M270" i="1" l="1"/>
  <c r="M264" i="1"/>
  <c r="M259" i="1"/>
  <c r="M258" i="1"/>
  <c r="M263" i="1"/>
  <c r="M257" i="1"/>
  <c r="M269" i="1"/>
  <c r="M268" i="1"/>
  <c r="M262" i="1"/>
  <c r="AG260" i="1"/>
  <c r="AG261" i="1"/>
  <c r="M272" i="1"/>
  <c r="M254" i="1"/>
  <c r="M265" i="1"/>
  <c r="M256" i="1"/>
  <c r="M255" i="1"/>
  <c r="AG271" i="1"/>
  <c r="M266" i="1"/>
  <c r="AG274" i="1"/>
  <c r="M273" i="1"/>
  <c r="AB11" i="1" l="1"/>
  <c r="AB12" i="1"/>
  <c r="Y11" i="1"/>
  <c r="Y12" i="1"/>
  <c r="V11" i="1"/>
  <c r="V12" i="1"/>
  <c r="S11" i="1"/>
  <c r="S12" i="1"/>
  <c r="Y224" i="1"/>
  <c r="AE11" i="1" l="1"/>
  <c r="AE12" i="1"/>
  <c r="S10" i="1"/>
  <c r="AG12" i="1" l="1"/>
  <c r="AG11" i="1"/>
  <c r="M12" i="1"/>
  <c r="M11" i="1"/>
  <c r="AB247" i="1"/>
  <c r="AB248" i="1"/>
  <c r="AB249" i="1"/>
  <c r="AB250" i="1"/>
  <c r="AB251" i="1"/>
  <c r="AB252" i="1"/>
  <c r="AB253" i="1"/>
  <c r="Y247" i="1"/>
  <c r="Y248" i="1"/>
  <c r="Y249" i="1"/>
  <c r="Y250" i="1"/>
  <c r="Y251" i="1"/>
  <c r="Y252" i="1"/>
  <c r="Y253" i="1"/>
  <c r="V247" i="1"/>
  <c r="V248" i="1"/>
  <c r="V249" i="1"/>
  <c r="V250" i="1"/>
  <c r="V251" i="1"/>
  <c r="V252" i="1"/>
  <c r="V253" i="1"/>
  <c r="S247" i="1"/>
  <c r="S248" i="1"/>
  <c r="S249" i="1"/>
  <c r="S250" i="1"/>
  <c r="S251" i="1"/>
  <c r="S252" i="1"/>
  <c r="AE251" i="1" l="1"/>
  <c r="AG251" i="1" s="1"/>
  <c r="AE253" i="1"/>
  <c r="AG253" i="1" s="1"/>
  <c r="AE252" i="1"/>
  <c r="AG252" i="1" s="1"/>
  <c r="AE250" i="1"/>
  <c r="AG250" i="1" s="1"/>
  <c r="AE248" i="1"/>
  <c r="AG248" i="1" s="1"/>
  <c r="AE247" i="1"/>
  <c r="AG247" i="1" s="1"/>
  <c r="AE249" i="1"/>
  <c r="AG249" i="1" s="1"/>
  <c r="S124" i="1"/>
  <c r="M249" i="1" l="1"/>
  <c r="M248" i="1"/>
  <c r="M253" i="1"/>
  <c r="M252" i="1"/>
  <c r="M251" i="1"/>
  <c r="M247" i="1"/>
  <c r="M250" i="1"/>
  <c r="S244" i="1"/>
  <c r="S143" i="1" l="1"/>
  <c r="S240" i="1" l="1"/>
  <c r="AB124" i="1" l="1"/>
  <c r="Y124" i="1"/>
  <c r="V124" i="1"/>
  <c r="AE124" i="1" l="1"/>
  <c r="AG124" i="1" s="1"/>
  <c r="M124" i="1" l="1"/>
  <c r="AB101" i="1"/>
  <c r="Y101" i="1"/>
  <c r="V101" i="1"/>
  <c r="S101" i="1"/>
  <c r="AE101" i="1" l="1"/>
  <c r="AB236" i="1"/>
  <c r="AB235" i="1"/>
  <c r="Y235" i="1"/>
  <c r="AG101" i="1" l="1"/>
  <c r="M101" i="1"/>
  <c r="AB126" i="1"/>
  <c r="Y126" i="1"/>
  <c r="V126" i="1"/>
  <c r="S126" i="1"/>
  <c r="AB234" i="1"/>
  <c r="V234" i="1"/>
  <c r="S234" i="1"/>
  <c r="AB237" i="1"/>
  <c r="AB238" i="1"/>
  <c r="AB239" i="1"/>
  <c r="AB240" i="1"/>
  <c r="AB241" i="1"/>
  <c r="AB242" i="1"/>
  <c r="AB243" i="1"/>
  <c r="AB244" i="1"/>
  <c r="AB245" i="1"/>
  <c r="AB246" i="1"/>
  <c r="Y236" i="1"/>
  <c r="Y237" i="1"/>
  <c r="Y238" i="1"/>
  <c r="Y239" i="1"/>
  <c r="Y240" i="1"/>
  <c r="Y241" i="1"/>
  <c r="Y242" i="1"/>
  <c r="Y243" i="1"/>
  <c r="Y244" i="1"/>
  <c r="Y245" i="1"/>
  <c r="Y246" i="1"/>
  <c r="Y275" i="1"/>
  <c r="Y303" i="1"/>
  <c r="V235" i="1"/>
  <c r="V236" i="1"/>
  <c r="V237" i="1"/>
  <c r="V238" i="1"/>
  <c r="V239" i="1"/>
  <c r="V240" i="1"/>
  <c r="V241" i="1"/>
  <c r="V242" i="1"/>
  <c r="V243" i="1"/>
  <c r="V244" i="1"/>
  <c r="V245" i="1"/>
  <c r="V246" i="1"/>
  <c r="V275" i="1"/>
  <c r="V303" i="1"/>
  <c r="S235" i="1"/>
  <c r="S236" i="1"/>
  <c r="S237" i="1"/>
  <c r="S238" i="1"/>
  <c r="S239" i="1"/>
  <c r="S241" i="1"/>
  <c r="S242" i="1"/>
  <c r="S243" i="1"/>
  <c r="S245" i="1"/>
  <c r="S246" i="1"/>
  <c r="S275" i="1"/>
  <c r="S303" i="1"/>
  <c r="AE242" i="1" l="1"/>
  <c r="AE240" i="1"/>
  <c r="AE244" i="1"/>
  <c r="AG244" i="1" s="1"/>
  <c r="AE246" i="1"/>
  <c r="AG246" i="1" s="1"/>
  <c r="AE238" i="1"/>
  <c r="AG238" i="1" s="1"/>
  <c r="AE236" i="1"/>
  <c r="AG236" i="1" s="1"/>
  <c r="AE245" i="1"/>
  <c r="AG245" i="1" s="1"/>
  <c r="AE241" i="1"/>
  <c r="AE237" i="1"/>
  <c r="AG237" i="1" s="1"/>
  <c r="AE303" i="1"/>
  <c r="AG303" i="1" s="1"/>
  <c r="AE126" i="1"/>
  <c r="AE234" i="1"/>
  <c r="AG234" i="1" s="1"/>
  <c r="AE275" i="1"/>
  <c r="AG275" i="1" s="1"/>
  <c r="AE243" i="1"/>
  <c r="AG243" i="1" s="1"/>
  <c r="AE239" i="1"/>
  <c r="AG239" i="1" s="1"/>
  <c r="AE235" i="1"/>
  <c r="Y233" i="1"/>
  <c r="AB233" i="1"/>
  <c r="V233" i="1"/>
  <c r="S233" i="1"/>
  <c r="M275" i="1" l="1"/>
  <c r="M239" i="1"/>
  <c r="M303" i="1"/>
  <c r="AG126" i="1"/>
  <c r="AG242" i="1"/>
  <c r="AG241" i="1"/>
  <c r="M241" i="1"/>
  <c r="AG240" i="1"/>
  <c r="M240" i="1"/>
  <c r="M244" i="1"/>
  <c r="M238" i="1"/>
  <c r="M246" i="1"/>
  <c r="M126" i="1"/>
  <c r="M236" i="1"/>
  <c r="M245" i="1"/>
  <c r="M243" i="1"/>
  <c r="M242" i="1"/>
  <c r="M237" i="1"/>
  <c r="AG235" i="1"/>
  <c r="M235" i="1"/>
  <c r="M234" i="1"/>
  <c r="AE233" i="1"/>
  <c r="AG233" i="1" s="1"/>
  <c r="AB232" i="1"/>
  <c r="Y232" i="1"/>
  <c r="V232" i="1"/>
  <c r="S232" i="1"/>
  <c r="M233" i="1" l="1"/>
  <c r="AE232" i="1"/>
  <c r="AG232" i="1" s="1"/>
  <c r="AB217" i="1"/>
  <c r="M232" i="1" l="1"/>
  <c r="V112" i="1"/>
  <c r="Y112" i="1"/>
  <c r="AB111" i="1"/>
  <c r="Y111" i="1"/>
  <c r="V111" i="1"/>
  <c r="AB112" i="1"/>
  <c r="S112" i="1"/>
  <c r="AE112" i="1" l="1"/>
  <c r="AE224" i="1"/>
  <c r="AG112" i="1" l="1"/>
  <c r="M112" i="1"/>
  <c r="S221" i="1"/>
  <c r="S222" i="1"/>
  <c r="S223" i="1"/>
  <c r="S225" i="1"/>
  <c r="S226" i="1"/>
  <c r="S227" i="1"/>
  <c r="S228" i="1"/>
  <c r="S229" i="1"/>
  <c r="AB216" i="1" l="1"/>
  <c r="AB218" i="1"/>
  <c r="AB219" i="1"/>
  <c r="AB220" i="1"/>
  <c r="AB221" i="1"/>
  <c r="AB222" i="1"/>
  <c r="AB223" i="1"/>
  <c r="AB225" i="1"/>
  <c r="AB226" i="1"/>
  <c r="AB227" i="1"/>
  <c r="AB228" i="1"/>
  <c r="AB229" i="1"/>
  <c r="AB230" i="1"/>
  <c r="AB231" i="1"/>
  <c r="Y218" i="1"/>
  <c r="Y219" i="1"/>
  <c r="Y220" i="1"/>
  <c r="Y221" i="1"/>
  <c r="Y222" i="1"/>
  <c r="Y223" i="1"/>
  <c r="Y225" i="1"/>
  <c r="Y226" i="1"/>
  <c r="Y227" i="1"/>
  <c r="Y228" i="1"/>
  <c r="Y229" i="1"/>
  <c r="Y230" i="1"/>
  <c r="Y231" i="1"/>
  <c r="V220" i="1"/>
  <c r="V221" i="1"/>
  <c r="V222" i="1"/>
  <c r="V223" i="1"/>
  <c r="V225" i="1"/>
  <c r="V226" i="1"/>
  <c r="V227" i="1"/>
  <c r="V228" i="1"/>
  <c r="V229" i="1"/>
  <c r="V230" i="1"/>
  <c r="V231" i="1"/>
  <c r="S220" i="1"/>
  <c r="S230" i="1"/>
  <c r="AE223" i="1" l="1"/>
  <c r="AE227" i="1"/>
  <c r="AG227" i="1" s="1"/>
  <c r="AE226" i="1"/>
  <c r="AE229" i="1"/>
  <c r="M229" i="1" s="1"/>
  <c r="AE225" i="1"/>
  <c r="AE230" i="1"/>
  <c r="AG230" i="1" s="1"/>
  <c r="AE222" i="1"/>
  <c r="AE228" i="1"/>
  <c r="AG228" i="1" s="1"/>
  <c r="AE221" i="1"/>
  <c r="AE220" i="1"/>
  <c r="S25" i="1"/>
  <c r="Y25" i="1"/>
  <c r="V25" i="1"/>
  <c r="M221" i="1" l="1"/>
  <c r="M225" i="1"/>
  <c r="M223" i="1"/>
  <c r="AG220" i="1"/>
  <c r="AG226" i="1"/>
  <c r="AG224" i="1"/>
  <c r="M224" i="1"/>
  <c r="M227" i="1"/>
  <c r="AG222" i="1"/>
  <c r="AG223" i="1"/>
  <c r="M222" i="1"/>
  <c r="AG229" i="1"/>
  <c r="AG225" i="1"/>
  <c r="M226" i="1"/>
  <c r="M230" i="1"/>
  <c r="M228" i="1"/>
  <c r="AG221" i="1"/>
  <c r="M220" i="1"/>
  <c r="AE25" i="1"/>
  <c r="S215" i="1"/>
  <c r="AB215" i="1"/>
  <c r="AG25" i="1" l="1"/>
  <c r="M25" i="1"/>
  <c r="Y214" i="1"/>
  <c r="Y213" i="1"/>
  <c r="V214" i="1"/>
  <c r="V213" i="1"/>
  <c r="S214" i="1"/>
  <c r="S213" i="1"/>
  <c r="AB92" i="1" l="1"/>
  <c r="Y92" i="1"/>
  <c r="V92" i="1"/>
  <c r="S92" i="1"/>
  <c r="AE92" i="1" l="1"/>
  <c r="AB213" i="1"/>
  <c r="AE213" i="1" s="1"/>
  <c r="AB214" i="1"/>
  <c r="AE214" i="1" s="1"/>
  <c r="Y215" i="1"/>
  <c r="Y216" i="1"/>
  <c r="Y217" i="1"/>
  <c r="V215" i="1"/>
  <c r="V216" i="1"/>
  <c r="V217" i="1"/>
  <c r="V218" i="1"/>
  <c r="V219" i="1"/>
  <c r="S216" i="1"/>
  <c r="S217" i="1"/>
  <c r="S218" i="1"/>
  <c r="S219" i="1"/>
  <c r="S231" i="1"/>
  <c r="AE231" i="1" s="1"/>
  <c r="AG231" i="1" s="1"/>
  <c r="AG214" i="1" l="1"/>
  <c r="AG92" i="1"/>
  <c r="AE217" i="1"/>
  <c r="AE218" i="1"/>
  <c r="AE216" i="1"/>
  <c r="AE219" i="1"/>
  <c r="AE215" i="1"/>
  <c r="M92" i="1"/>
  <c r="AG213" i="1"/>
  <c r="M213" i="1"/>
  <c r="AB211" i="1"/>
  <c r="Y211" i="1"/>
  <c r="V211" i="1"/>
  <c r="S211" i="1"/>
  <c r="M217" i="1" l="1"/>
  <c r="M219" i="1"/>
  <c r="M216" i="1"/>
  <c r="AG218" i="1"/>
  <c r="M218" i="1"/>
  <c r="M231" i="1"/>
  <c r="AG216" i="1"/>
  <c r="M215" i="1"/>
  <c r="AG215" i="1"/>
  <c r="AG217" i="1"/>
  <c r="AG219" i="1"/>
  <c r="AE211" i="1"/>
  <c r="S210" i="1"/>
  <c r="M211" i="1" l="1"/>
  <c r="AG211" i="1"/>
  <c r="AB209" i="1" l="1"/>
  <c r="Y209" i="1"/>
  <c r="V209" i="1"/>
  <c r="S209" i="1"/>
  <c r="AE209" i="1" l="1"/>
  <c r="M209" i="1" l="1"/>
  <c r="AG209" i="1"/>
  <c r="V163" i="1"/>
  <c r="V137" i="1" l="1"/>
  <c r="V138" i="1"/>
  <c r="V139" i="1"/>
  <c r="V140" i="1"/>
  <c r="V141" i="1"/>
  <c r="V142" i="1"/>
  <c r="V144" i="1"/>
  <c r="V145" i="1"/>
  <c r="V146" i="1"/>
  <c r="V147" i="1"/>
  <c r="V148" i="1"/>
  <c r="V149" i="1"/>
  <c r="V150" i="1"/>
  <c r="V151" i="1"/>
  <c r="V152" i="1"/>
  <c r="V153" i="1"/>
  <c r="V154" i="1"/>
  <c r="V155" i="1"/>
  <c r="V156" i="1"/>
  <c r="V157" i="1"/>
  <c r="V158" i="1"/>
  <c r="V159" i="1"/>
  <c r="V160" i="1"/>
  <c r="V161" i="1"/>
  <c r="V162"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10" i="1"/>
  <c r="V212" i="1"/>
  <c r="Y129" i="1" l="1"/>
  <c r="Y130" i="1"/>
  <c r="Y128" i="1"/>
  <c r="S129" i="1"/>
  <c r="S130" i="1"/>
  <c r="S128" i="1"/>
  <c r="Y127" i="1"/>
  <c r="Y125" i="1"/>
  <c r="Y123" i="1"/>
  <c r="Y120" i="1"/>
  <c r="S127" i="1"/>
  <c r="S125" i="1"/>
  <c r="S123" i="1"/>
  <c r="S120" i="1"/>
  <c r="S111" i="1"/>
  <c r="S118" i="1"/>
  <c r="S117" i="1"/>
  <c r="S114" i="1"/>
  <c r="S108" i="1"/>
  <c r="S109" i="1"/>
  <c r="V108" i="1"/>
  <c r="V109" i="1"/>
  <c r="Y108" i="1"/>
  <c r="Y109" i="1"/>
  <c r="AB102" i="1"/>
  <c r="Y102" i="1"/>
  <c r="S102" i="1"/>
  <c r="S99" i="1"/>
  <c r="Y95" i="1"/>
  <c r="S96" i="1"/>
  <c r="S91" i="1"/>
  <c r="Y89" i="1"/>
  <c r="V89" i="1"/>
  <c r="S87" i="1"/>
  <c r="AB79" i="1"/>
  <c r="AB80" i="1"/>
  <c r="Y79" i="1"/>
  <c r="Y80" i="1"/>
  <c r="V80" i="1"/>
  <c r="S79" i="1"/>
  <c r="S80" i="1"/>
  <c r="AB57" i="1"/>
  <c r="AB58" i="1"/>
  <c r="Y58" i="1"/>
  <c r="Y57" i="1"/>
  <c r="V58" i="1"/>
  <c r="S58" i="1"/>
  <c r="S71" i="1"/>
  <c r="AB65" i="1"/>
  <c r="AB68" i="1"/>
  <c r="Y65" i="1"/>
  <c r="Y68" i="1"/>
  <c r="V65" i="1"/>
  <c r="V68" i="1"/>
  <c r="S65" i="1"/>
  <c r="S68" i="1"/>
  <c r="AB63" i="1"/>
  <c r="Y63" i="1"/>
  <c r="V63" i="1"/>
  <c r="S63" i="1"/>
  <c r="Y59" i="1"/>
  <c r="S60" i="1"/>
  <c r="S59" i="1"/>
  <c r="S57" i="1"/>
  <c r="S56" i="1"/>
  <c r="Y55" i="1"/>
  <c r="S55" i="1"/>
  <c r="V54" i="1"/>
  <c r="Y54" i="1"/>
  <c r="AB54" i="1"/>
  <c r="Y41" i="1"/>
  <c r="S41" i="1"/>
  <c r="Y36" i="1"/>
  <c r="Y37" i="1"/>
  <c r="V36" i="1"/>
  <c r="V37" i="1"/>
  <c r="S36" i="1"/>
  <c r="S37" i="1"/>
  <c r="Y35" i="1"/>
  <c r="S35" i="1"/>
  <c r="AE111" i="1" l="1"/>
  <c r="AE80" i="1"/>
  <c r="AE63" i="1"/>
  <c r="AE58" i="1"/>
  <c r="AG58" i="1" s="1"/>
  <c r="AE68" i="1"/>
  <c r="AE65" i="1"/>
  <c r="AB35" i="1"/>
  <c r="AB36" i="1"/>
  <c r="AE36" i="1" s="1"/>
  <c r="AB37" i="1"/>
  <c r="AE37" i="1" s="1"/>
  <c r="AB40" i="1"/>
  <c r="AB41" i="1"/>
  <c r="AB47" i="1"/>
  <c r="AB48" i="1"/>
  <c r="AB52" i="1"/>
  <c r="AB53" i="1"/>
  <c r="AB55" i="1"/>
  <c r="AB56" i="1"/>
  <c r="AB59" i="1"/>
  <c r="AB60" i="1"/>
  <c r="AB62" i="1"/>
  <c r="AB64" i="1"/>
  <c r="AB70" i="1"/>
  <c r="AB74" i="1"/>
  <c r="AB78" i="1"/>
  <c r="AB85" i="1"/>
  <c r="AB87" i="1"/>
  <c r="AB88" i="1"/>
  <c r="AE88" i="1" s="1"/>
  <c r="AE89" i="1"/>
  <c r="AB91" i="1"/>
  <c r="AB93" i="1"/>
  <c r="AE93" i="1" s="1"/>
  <c r="AB95" i="1"/>
  <c r="AB96" i="1"/>
  <c r="AB98" i="1"/>
  <c r="AB99" i="1"/>
  <c r="AB100" i="1"/>
  <c r="AB107" i="1"/>
  <c r="AB108" i="1"/>
  <c r="AB109" i="1"/>
  <c r="AE109" i="1" s="1"/>
  <c r="AB110" i="1"/>
  <c r="AB113" i="1"/>
  <c r="AB114" i="1"/>
  <c r="AB116" i="1"/>
  <c r="AE116" i="1" s="1"/>
  <c r="AB117" i="1"/>
  <c r="AB118" i="1"/>
  <c r="AB119" i="1"/>
  <c r="AB120" i="1"/>
  <c r="AB123" i="1"/>
  <c r="AB125" i="1"/>
  <c r="AB127" i="1"/>
  <c r="AB128" i="1"/>
  <c r="AB129" i="1"/>
  <c r="AB130" i="1"/>
  <c r="AB136" i="1"/>
  <c r="AB137" i="1"/>
  <c r="AB138" i="1"/>
  <c r="AB139" i="1"/>
  <c r="AB140" i="1"/>
  <c r="AB141" i="1"/>
  <c r="AB142" i="1"/>
  <c r="AB143" i="1"/>
  <c r="AB144" i="1"/>
  <c r="AB34" i="1"/>
  <c r="AG34" i="1"/>
  <c r="V35" i="1"/>
  <c r="V41" i="1"/>
  <c r="V48" i="1"/>
  <c r="V55" i="1"/>
  <c r="V56" i="1"/>
  <c r="V57" i="1"/>
  <c r="AE57" i="1" s="1"/>
  <c r="V59" i="1"/>
  <c r="V60" i="1"/>
  <c r="V62" i="1"/>
  <c r="V64" i="1"/>
  <c r="V70" i="1"/>
  <c r="V71" i="1"/>
  <c r="V74" i="1"/>
  <c r="V78" i="1"/>
  <c r="V79" i="1"/>
  <c r="AE79" i="1" s="1"/>
  <c r="V85" i="1"/>
  <c r="V87" i="1"/>
  <c r="V95" i="1"/>
  <c r="V96" i="1"/>
  <c r="V98" i="1"/>
  <c r="V99" i="1"/>
  <c r="V100" i="1"/>
  <c r="V102" i="1"/>
  <c r="V107" i="1"/>
  <c r="V110" i="1"/>
  <c r="V113" i="1"/>
  <c r="V114" i="1"/>
  <c r="V117" i="1"/>
  <c r="V118" i="1"/>
  <c r="V119" i="1"/>
  <c r="V120" i="1"/>
  <c r="V123" i="1"/>
  <c r="V125" i="1"/>
  <c r="V127" i="1"/>
  <c r="V128" i="1"/>
  <c r="V129" i="1"/>
  <c r="V130" i="1"/>
  <c r="V34" i="1"/>
  <c r="S34" i="1"/>
  <c r="Y29" i="1"/>
  <c r="V29" i="1"/>
  <c r="S29" i="1"/>
  <c r="Y31" i="1"/>
  <c r="Y32" i="1"/>
  <c r="AB31" i="1"/>
  <c r="AB32" i="1"/>
  <c r="V31" i="1"/>
  <c r="V32" i="1"/>
  <c r="S31" i="1"/>
  <c r="S32" i="1"/>
  <c r="AB26" i="1"/>
  <c r="AE26" i="1" s="1"/>
  <c r="AB23" i="1"/>
  <c r="Y23" i="1"/>
  <c r="V23" i="1"/>
  <c r="S23" i="1"/>
  <c r="AB18" i="1"/>
  <c r="AB19" i="1"/>
  <c r="AB20" i="1"/>
  <c r="AB17" i="1"/>
  <c r="Y18" i="1"/>
  <c r="V18" i="1"/>
  <c r="V19" i="1"/>
  <c r="AE19" i="1" s="1"/>
  <c r="S18" i="1"/>
  <c r="AG20" i="1"/>
  <c r="AB15" i="1"/>
  <c r="AB16" i="1"/>
  <c r="AB14" i="1"/>
  <c r="Y15" i="1"/>
  <c r="Y16" i="1"/>
  <c r="V15" i="1"/>
  <c r="V16" i="1"/>
  <c r="S15" i="1"/>
  <c r="S16" i="1"/>
  <c r="S9" i="1"/>
  <c r="V9" i="1"/>
  <c r="V10" i="1"/>
  <c r="Y9" i="1"/>
  <c r="Y10" i="1"/>
  <c r="AB8" i="1"/>
  <c r="AB9" i="1"/>
  <c r="AB10" i="1"/>
  <c r="AB7" i="1"/>
  <c r="S139"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10" i="1"/>
  <c r="AB212"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10" i="1"/>
  <c r="Y212" i="1"/>
  <c r="Y138" i="1"/>
  <c r="Y139" i="1"/>
  <c r="Y140" i="1"/>
  <c r="Y141" i="1"/>
  <c r="Y142" i="1"/>
  <c r="Y143" i="1"/>
  <c r="Y144" i="1"/>
  <c r="Y145" i="1"/>
  <c r="Y146" i="1"/>
  <c r="Y147" i="1"/>
  <c r="Y148" i="1"/>
  <c r="Y149" i="1"/>
  <c r="Y150" i="1"/>
  <c r="Y151" i="1"/>
  <c r="Y152" i="1"/>
  <c r="Y153" i="1"/>
  <c r="Y137" i="1"/>
  <c r="Y136" i="1"/>
  <c r="V136" i="1"/>
  <c r="S138" i="1"/>
  <c r="S140" i="1"/>
  <c r="S141" i="1"/>
  <c r="S142"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12" i="1"/>
  <c r="S137" i="1"/>
  <c r="S136" i="1"/>
  <c r="Y100" i="1"/>
  <c r="S100" i="1"/>
  <c r="Y110" i="1"/>
  <c r="S110" i="1"/>
  <c r="Y119" i="1"/>
  <c r="S119" i="1"/>
  <c r="AB30" i="1"/>
  <c r="Y30" i="1"/>
  <c r="V30" i="1"/>
  <c r="S30" i="1"/>
  <c r="Y107" i="1"/>
  <c r="S107" i="1"/>
  <c r="Y98" i="1"/>
  <c r="S98" i="1"/>
  <c r="Y91" i="1"/>
  <c r="Y85" i="1"/>
  <c r="S85" i="1"/>
  <c r="Y87" i="1"/>
  <c r="Y74" i="1"/>
  <c r="S74" i="1"/>
  <c r="Y78" i="1"/>
  <c r="S78" i="1"/>
  <c r="Y64" i="1"/>
  <c r="S64" i="1"/>
  <c r="Y70" i="1"/>
  <c r="S70" i="1"/>
  <c r="Y62" i="1"/>
  <c r="S62" i="1"/>
  <c r="S54" i="1"/>
  <c r="Y40" i="1"/>
  <c r="S40" i="1"/>
  <c r="Y27" i="1"/>
  <c r="V27" i="1"/>
  <c r="S27" i="1"/>
  <c r="Y17" i="1"/>
  <c r="V17" i="1"/>
  <c r="S17" i="1"/>
  <c r="Y14" i="1"/>
  <c r="V14" i="1"/>
  <c r="S14" i="1"/>
  <c r="Y8" i="1"/>
  <c r="V8" i="1"/>
  <c r="S8" i="1"/>
  <c r="Y7" i="1"/>
  <c r="V7" i="1"/>
  <c r="S7" i="1"/>
  <c r="AG109" i="1" l="1"/>
  <c r="AE96" i="1"/>
  <c r="AE23" i="1"/>
  <c r="AG37" i="1"/>
  <c r="AG68" i="1"/>
  <c r="M63" i="1"/>
  <c r="M26" i="1"/>
  <c r="M116" i="1"/>
  <c r="M36" i="1"/>
  <c r="M19" i="1"/>
  <c r="M57" i="1"/>
  <c r="M89" i="1"/>
  <c r="AG88" i="1"/>
  <c r="M88" i="1"/>
  <c r="M68" i="1"/>
  <c r="M37" i="1"/>
  <c r="M58" i="1"/>
  <c r="M34" i="1"/>
  <c r="M109" i="1"/>
  <c r="AG63" i="1"/>
  <c r="AG26" i="1"/>
  <c r="AG36" i="1"/>
  <c r="AG89" i="1"/>
  <c r="AE95" i="1"/>
  <c r="AG79" i="1"/>
  <c r="AG65" i="1"/>
  <c r="AG80" i="1"/>
  <c r="AG57" i="1"/>
  <c r="M80" i="1"/>
  <c r="AG19" i="1"/>
  <c r="M65" i="1"/>
  <c r="AG111" i="1"/>
  <c r="AE210" i="1"/>
  <c r="AE27" i="1"/>
  <c r="AE17" i="1"/>
  <c r="AE60" i="1"/>
  <c r="AE18" i="1"/>
  <c r="AE137" i="1"/>
  <c r="AE8" i="1"/>
  <c r="AE206" i="1"/>
  <c r="AE202" i="1"/>
  <c r="AE198" i="1"/>
  <c r="AE194" i="1"/>
  <c r="AE190" i="1"/>
  <c r="AE186" i="1"/>
  <c r="AE182" i="1"/>
  <c r="AE178" i="1"/>
  <c r="AE174" i="1"/>
  <c r="AE170" i="1"/>
  <c r="AE166" i="1"/>
  <c r="AE162" i="1"/>
  <c r="AE158" i="1"/>
  <c r="AE154" i="1"/>
  <c r="AE150" i="1"/>
  <c r="AE146" i="1"/>
  <c r="AE142" i="1"/>
  <c r="AE129" i="1"/>
  <c r="AE127" i="1"/>
  <c r="AE99" i="1"/>
  <c r="AE7" i="1"/>
  <c r="AE205" i="1"/>
  <c r="AE201" i="1"/>
  <c r="AE197" i="1"/>
  <c r="AE193" i="1"/>
  <c r="AE189" i="1"/>
  <c r="AE185" i="1"/>
  <c r="AE181" i="1"/>
  <c r="AE177" i="1"/>
  <c r="AE173" i="1"/>
  <c r="AE169" i="1"/>
  <c r="AE165" i="1"/>
  <c r="AE161" i="1"/>
  <c r="AE157" i="1"/>
  <c r="AE153" i="1"/>
  <c r="AE149" i="1"/>
  <c r="AE145" i="1"/>
  <c r="AE141" i="1"/>
  <c r="AE151" i="1"/>
  <c r="AE147" i="1"/>
  <c r="AE91" i="1"/>
  <c r="AE56" i="1"/>
  <c r="AE48" i="1"/>
  <c r="AE35" i="1"/>
  <c r="AE125" i="1"/>
  <c r="AE117" i="1"/>
  <c r="AE114" i="1"/>
  <c r="AE113" i="1"/>
  <c r="AE128" i="1"/>
  <c r="AE123" i="1"/>
  <c r="AE120" i="1"/>
  <c r="AE118" i="1"/>
  <c r="M118" i="1" s="1"/>
  <c r="AE41" i="1"/>
  <c r="AE53" i="1"/>
  <c r="AE64" i="1"/>
  <c r="AE59" i="1"/>
  <c r="AE62" i="1"/>
  <c r="AE55" i="1"/>
  <c r="AE71" i="1"/>
  <c r="AE54" i="1"/>
  <c r="AE143" i="1"/>
  <c r="AE47" i="1"/>
  <c r="AE40" i="1"/>
  <c r="AE172" i="1"/>
  <c r="AE168" i="1"/>
  <c r="AE160" i="1"/>
  <c r="AE156" i="1"/>
  <c r="AE52" i="1"/>
  <c r="AE134" i="1"/>
  <c r="AE107" i="1"/>
  <c r="AE98" i="1"/>
  <c r="AE119" i="1"/>
  <c r="AE100" i="1"/>
  <c r="AE138" i="1"/>
  <c r="AE9" i="1"/>
  <c r="AE15" i="1"/>
  <c r="AG15" i="1" s="1"/>
  <c r="AE207" i="1"/>
  <c r="AE203" i="1"/>
  <c r="AE199" i="1"/>
  <c r="AE195" i="1"/>
  <c r="AE191" i="1"/>
  <c r="AE187" i="1"/>
  <c r="AE183" i="1"/>
  <c r="AE179" i="1"/>
  <c r="AE175" i="1"/>
  <c r="AE171" i="1"/>
  <c r="AE167" i="1"/>
  <c r="AE163" i="1"/>
  <c r="AE159" i="1"/>
  <c r="AE155" i="1"/>
  <c r="AE74" i="1"/>
  <c r="AE85" i="1"/>
  <c r="AE139" i="1"/>
  <c r="AE78" i="1"/>
  <c r="AE212" i="1"/>
  <c r="AE208" i="1"/>
  <c r="AE204" i="1"/>
  <c r="AE200" i="1"/>
  <c r="AE196" i="1"/>
  <c r="AE192" i="1"/>
  <c r="AE188" i="1"/>
  <c r="AE184" i="1"/>
  <c r="AE180" i="1"/>
  <c r="AE176" i="1"/>
  <c r="AE164" i="1"/>
  <c r="AE152" i="1"/>
  <c r="AE148" i="1"/>
  <c r="AE144" i="1"/>
  <c r="AE140" i="1"/>
  <c r="AE136" i="1"/>
  <c r="AE130" i="1"/>
  <c r="AE110" i="1"/>
  <c r="AE108" i="1"/>
  <c r="AE102" i="1"/>
  <c r="AE87" i="1"/>
  <c r="AE70" i="1"/>
  <c r="AE31" i="1"/>
  <c r="AG31" i="1" s="1"/>
  <c r="AE29" i="1"/>
  <c r="AE16" i="1"/>
  <c r="AE32" i="1"/>
  <c r="AE10" i="1"/>
  <c r="AE14" i="1"/>
  <c r="AE30" i="1"/>
  <c r="M23" i="1" l="1"/>
  <c r="AG125" i="1"/>
  <c r="AG32" i="1"/>
  <c r="AG23" i="1"/>
  <c r="M113" i="1"/>
  <c r="M29" i="1"/>
  <c r="AG16" i="1"/>
  <c r="M114" i="1"/>
  <c r="M129" i="1"/>
  <c r="M93" i="1"/>
  <c r="M35" i="1"/>
  <c r="M60" i="1"/>
  <c r="M95" i="1"/>
  <c r="M48" i="1"/>
  <c r="M108" i="1"/>
  <c r="M47" i="1"/>
  <c r="M55" i="1"/>
  <c r="M59" i="1"/>
  <c r="M123" i="1"/>
  <c r="M56" i="1"/>
  <c r="M10" i="1"/>
  <c r="M130" i="1"/>
  <c r="M128" i="1"/>
  <c r="M99" i="1"/>
  <c r="AG134" i="1"/>
  <c r="M134" i="1"/>
  <c r="AG53" i="1"/>
  <c r="M53" i="1"/>
  <c r="AG127" i="1"/>
  <c r="M127" i="1"/>
  <c r="M31" i="1"/>
  <c r="AG71" i="1"/>
  <c r="M71" i="1"/>
  <c r="M125" i="1"/>
  <c r="M32" i="1"/>
  <c r="M15" i="1"/>
  <c r="AG96" i="1"/>
  <c r="M96" i="1"/>
  <c r="AG102" i="1"/>
  <c r="M102" i="1"/>
  <c r="AG52" i="1"/>
  <c r="AG120" i="1"/>
  <c r="M120" i="1"/>
  <c r="M22" i="1"/>
  <c r="M16" i="1"/>
  <c r="AG48" i="1"/>
  <c r="AG99" i="1"/>
  <c r="AG93" i="1"/>
  <c r="AG60" i="1"/>
  <c r="AG123" i="1"/>
  <c r="AG117" i="1"/>
  <c r="M117" i="1"/>
  <c r="AG108" i="1"/>
  <c r="AG10" i="1"/>
  <c r="AG140" i="1"/>
  <c r="M164" i="1"/>
  <c r="AG184" i="1"/>
  <c r="AG200" i="1"/>
  <c r="AG139" i="1"/>
  <c r="AG167" i="1"/>
  <c r="AG183" i="1"/>
  <c r="AG199" i="1"/>
  <c r="AG160" i="1"/>
  <c r="AG128" i="1"/>
  <c r="AG151" i="1"/>
  <c r="AG153" i="1"/>
  <c r="M169" i="1"/>
  <c r="AG185" i="1"/>
  <c r="AG201" i="1"/>
  <c r="AG129" i="1"/>
  <c r="AG142" i="1"/>
  <c r="AG158" i="1"/>
  <c r="AG174" i="1"/>
  <c r="AG190" i="1"/>
  <c r="AG206" i="1"/>
  <c r="M30" i="1"/>
  <c r="AG144" i="1"/>
  <c r="AG188" i="1"/>
  <c r="AG204" i="1"/>
  <c r="AG155" i="1"/>
  <c r="M171" i="1"/>
  <c r="AG187" i="1"/>
  <c r="AG203" i="1"/>
  <c r="AG168" i="1"/>
  <c r="AG40" i="1"/>
  <c r="AG141" i="1"/>
  <c r="AG157" i="1"/>
  <c r="AG173" i="1"/>
  <c r="AG189" i="1"/>
  <c r="AG205" i="1"/>
  <c r="AG146" i="1"/>
  <c r="AG162" i="1"/>
  <c r="AG178" i="1"/>
  <c r="AG194" i="1"/>
  <c r="AG8" i="1"/>
  <c r="AG18" i="1"/>
  <c r="AG210" i="1"/>
  <c r="AG130" i="1"/>
  <c r="AG148" i="1"/>
  <c r="AG176" i="1"/>
  <c r="M192" i="1"/>
  <c r="AG159" i="1"/>
  <c r="M175" i="1"/>
  <c r="AG191" i="1"/>
  <c r="AG207" i="1"/>
  <c r="AG9" i="1"/>
  <c r="AG138" i="1"/>
  <c r="AG172" i="1"/>
  <c r="AG91" i="1"/>
  <c r="AG145" i="1"/>
  <c r="AG161" i="1"/>
  <c r="AG177" i="1"/>
  <c r="AG193" i="1"/>
  <c r="AG150" i="1"/>
  <c r="AG166" i="1"/>
  <c r="AG182" i="1"/>
  <c r="AG198" i="1"/>
  <c r="AG137" i="1"/>
  <c r="AG152" i="1"/>
  <c r="M180" i="1"/>
  <c r="AG196" i="1"/>
  <c r="AG212" i="1"/>
  <c r="AG163" i="1"/>
  <c r="AG179" i="1"/>
  <c r="AG195" i="1"/>
  <c r="AG156" i="1"/>
  <c r="AG143" i="1"/>
  <c r="AG56" i="1"/>
  <c r="AG147" i="1"/>
  <c r="AG149" i="1"/>
  <c r="AG165" i="1"/>
  <c r="AG181" i="1"/>
  <c r="AG197" i="1"/>
  <c r="AG154" i="1"/>
  <c r="AG170" i="1"/>
  <c r="AG186" i="1"/>
  <c r="AG202" i="1"/>
  <c r="AG136" i="1"/>
  <c r="M18" i="1"/>
  <c r="M9" i="1"/>
  <c r="M111" i="1"/>
  <c r="M214" i="1"/>
  <c r="AG41" i="1"/>
  <c r="M41" i="1"/>
  <c r="M162" i="1"/>
  <c r="M191" i="1"/>
  <c r="M157" i="1"/>
  <c r="M146" i="1"/>
  <c r="M141" i="1"/>
  <c r="M207" i="1"/>
  <c r="M196" i="1"/>
  <c r="M178" i="1"/>
  <c r="M163" i="1"/>
  <c r="M148" i="1"/>
  <c r="M194" i="1"/>
  <c r="M147" i="1"/>
  <c r="AG208" i="1"/>
  <c r="M151" i="1"/>
  <c r="M167" i="1"/>
  <c r="M179" i="1"/>
  <c r="M195" i="1"/>
  <c r="M152" i="1"/>
  <c r="M168" i="1"/>
  <c r="M184" i="1"/>
  <c r="M200" i="1"/>
  <c r="M212" i="1"/>
  <c r="M150" i="1"/>
  <c r="M166" i="1"/>
  <c r="M182" i="1"/>
  <c r="M198" i="1"/>
  <c r="M145" i="1"/>
  <c r="M161" i="1"/>
  <c r="M173" i="1"/>
  <c r="M185" i="1"/>
  <c r="M201" i="1"/>
  <c r="M136" i="1"/>
  <c r="M138" i="1"/>
  <c r="M155" i="1"/>
  <c r="M183" i="1"/>
  <c r="M199" i="1"/>
  <c r="M140" i="1"/>
  <c r="M156" i="1"/>
  <c r="M172" i="1"/>
  <c r="M188" i="1"/>
  <c r="M204" i="1"/>
  <c r="M137" i="1"/>
  <c r="M154" i="1"/>
  <c r="M170" i="1"/>
  <c r="M186" i="1"/>
  <c r="M202" i="1"/>
  <c r="M149" i="1"/>
  <c r="M165" i="1"/>
  <c r="M177" i="1"/>
  <c r="M189" i="1"/>
  <c r="M205" i="1"/>
  <c r="M139" i="1"/>
  <c r="M197" i="1"/>
  <c r="M143" i="1"/>
  <c r="M159" i="1"/>
  <c r="M187" i="1"/>
  <c r="M203" i="1"/>
  <c r="M144" i="1"/>
  <c r="M160" i="1"/>
  <c r="M176" i="1"/>
  <c r="M208" i="1"/>
  <c r="M142" i="1"/>
  <c r="M158" i="1"/>
  <c r="M174" i="1"/>
  <c r="M190" i="1"/>
  <c r="M206" i="1"/>
  <c r="M153" i="1"/>
  <c r="M181" i="1"/>
  <c r="M193" i="1"/>
  <c r="M210" i="1"/>
  <c r="AG64" i="1"/>
  <c r="AG62" i="1"/>
  <c r="AG35" i="1"/>
  <c r="AG169" i="1"/>
  <c r="AG95" i="1"/>
  <c r="AG98" i="1"/>
  <c r="AG114" i="1"/>
  <c r="AG87" i="1"/>
  <c r="AG78" i="1"/>
  <c r="AG85" i="1"/>
  <c r="AG100" i="1"/>
  <c r="AG118" i="1"/>
  <c r="AG116" i="1"/>
  <c r="AG74" i="1"/>
  <c r="AG119" i="1"/>
  <c r="AG107" i="1"/>
  <c r="AG113" i="1"/>
  <c r="M87" i="1"/>
  <c r="AG59" i="1"/>
  <c r="AG55" i="1"/>
  <c r="AG70" i="1"/>
  <c r="AG54" i="1"/>
  <c r="AG47" i="1"/>
  <c r="AG29" i="1"/>
  <c r="AG175" i="1"/>
  <c r="AG14" i="1"/>
  <c r="AG171" i="1"/>
  <c r="M78" i="1"/>
  <c r="M110" i="1"/>
  <c r="AG192" i="1"/>
  <c r="AG180" i="1"/>
  <c r="AG164" i="1"/>
  <c r="M17" i="1"/>
  <c r="AG27" i="1"/>
  <c r="M7" i="1"/>
  <c r="AG30" i="1"/>
  <c r="M40" i="1"/>
  <c r="M91" i="1"/>
  <c r="M79" i="1"/>
  <c r="AG17" i="1"/>
  <c r="M64" i="1"/>
  <c r="M119" i="1"/>
  <c r="M98" i="1"/>
  <c r="M85" i="1"/>
  <c r="M27" i="1"/>
  <c r="M107" i="1"/>
  <c r="M74" i="1"/>
  <c r="M62" i="1"/>
  <c r="M70" i="1"/>
  <c r="AG7" i="1"/>
  <c r="M54" i="1"/>
  <c r="M8" i="1"/>
  <c r="M14" i="1"/>
  <c r="M100" i="1"/>
  <c r="AB76" i="1" l="1"/>
  <c r="AE76" i="1" l="1"/>
  <c r="M76" i="1" l="1"/>
  <c r="AG76" i="1"/>
</calcChain>
</file>

<file path=xl/sharedStrings.xml><?xml version="1.0" encoding="utf-8"?>
<sst xmlns="http://schemas.openxmlformats.org/spreadsheetml/2006/main" count="4194" uniqueCount="1303">
  <si>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</si>
  <si>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</si>
  <si>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</si>
  <si>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</si>
  <si>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</si>
  <si>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</si>
  <si>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</si>
  <si>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</si>
  <si>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</si>
  <si>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</si>
  <si>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</si>
  <si>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</si>
  <si>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</si>
  <si>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</si>
  <si>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</si>
  <si>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</si>
  <si>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</si>
  <si>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</si>
  <si>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</si>
  <si>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</si>
  <si>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</si>
  <si>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</si>
  <si>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</si>
  <si>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</si>
  <si>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</si>
  <si>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</si>
  <si>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</si>
  <si>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</si>
  <si>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</si>
  <si>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</si>
  <si>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</si>
  <si>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</si>
  <si>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</si>
  <si>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</si>
  <si>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</si>
  <si>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Autoritatea Națională Pentru Protecția Drepturilor Copilului și Adopție</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</si>
  <si>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</si>
  <si>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</si>
  <si>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</si>
  <si>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Ministerul Educației Naționale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</si>
  <si>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</si>
  <si>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</si>
  <si>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Muncii și Justitiei Sociale</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</si>
  <si>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</si>
  <si>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</si>
  <si>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Ministerul pentru Mediul de Afaceri, Comerț și Antreprenoriat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</si>
  <si>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</si>
  <si>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</si>
  <si>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Ministerul Educației Naționale - Centrul Național de Dezvoltare a Învățământului Profesional și Tehnic</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</si>
  <si>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</si>
  <si>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</si>
  <si>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Ministerul Economiei</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</si>
  <si>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</si>
  <si>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</si>
  <si>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Ministerul Finanțelor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</si>
  <si>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</si>
  <si>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</si>
  <si>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</si>
  <si>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</si>
  <si>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</si>
  <si>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</si>
  <si>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</si>
  <si>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</si>
  <si>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</si>
  <si>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</si>
  <si>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</si>
  <si>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</si>
  <si>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Ministerul Transporturilor</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</si>
  <si>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</si>
  <si>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</si>
  <si>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Ministerul Educaţiei Nationale</t>
  </si>
  <si>
    <t>Monitorizarea și evaluarea strategiilor condiționalități ex-ante în educație și îmbunătățirea procesului decizional prin monitorizarea performanței instituționale la nivel central și local</t>
  </si>
  <si>
    <t>Ministerul Comunicațiilor și Societatii Informaționale</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</si>
  <si>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</si>
  <si>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</si>
  <si>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Ministerul Mediului</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</si>
  <si>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</si>
  <si>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</si>
  <si>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</si>
  <si>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</si>
  <si>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</si>
  <si>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</si>
  <si>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</si>
  <si>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</si>
  <si>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</si>
  <si>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</si>
  <si>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</si>
  <si>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</si>
  <si>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</si>
  <si>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</si>
  <si>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</si>
  <si>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</si>
  <si>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</si>
  <si>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</si>
  <si>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 xml:space="preserve">Ministerul Cercetării şi Inovării  </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</si>
  <si>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</si>
  <si>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</si>
  <si>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</si>
  <si>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</si>
  <si>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</si>
  <si>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</si>
  <si>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</si>
  <si>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Inspectoratul General pentru Situații de Urgență (IGSU)</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</si>
  <si>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</si>
  <si>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</si>
  <si>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</si>
  <si>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</si>
  <si>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</si>
  <si>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</si>
  <si>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</si>
  <si>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</si>
  <si>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</si>
  <si>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</si>
  <si>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</si>
  <si>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</si>
  <si>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</si>
  <si>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</si>
  <si>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</si>
  <si>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</si>
  <si>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</si>
  <si>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</si>
  <si>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</si>
  <si>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</si>
  <si>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</si>
  <si>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Ministerul Educației Naționale</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</si>
  <si>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</si>
  <si>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</si>
  <si>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</si>
  <si>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</si>
  <si>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Agentia Națională de Administrare Fiscală</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</si>
  <si>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</si>
  <si>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</si>
  <si>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</si>
  <si>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</si>
  <si>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</si>
  <si>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</si>
  <si>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</si>
  <si>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</si>
  <si>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</si>
  <si>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</si>
  <si>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</si>
  <si>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</si>
  <si>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</si>
  <si>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</si>
  <si>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</si>
  <si>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</si>
  <si>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</si>
  <si>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</si>
  <si>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</si>
  <si>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</si>
  <si>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</si>
  <si>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</si>
  <si>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</si>
  <si>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</si>
  <si>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</si>
  <si>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</si>
  <si>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</si>
  <si>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</si>
  <si>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</si>
  <si>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Cod SIPOCA</t>
  </si>
  <si>
    <t>OFP</t>
  </si>
  <si>
    <t>AP3/  /3.1</t>
  </si>
  <si>
    <t>AP3/  /3.2</t>
  </si>
  <si>
    <t>MP</t>
  </si>
  <si>
    <t>Cod apel</t>
  </si>
  <si>
    <t>AP1/11i /1.1</t>
  </si>
  <si>
    <t>AP1/11i /1.4</t>
  </si>
  <si>
    <t>AP 2/11i  /2.2</t>
  </si>
  <si>
    <t>DV</t>
  </si>
  <si>
    <t xml:space="preserve">AP1/11i /1.3 </t>
  </si>
  <si>
    <t>VB</t>
  </si>
  <si>
    <t>CA</t>
  </si>
  <si>
    <t>GD</t>
  </si>
  <si>
    <t>RG</t>
  </si>
  <si>
    <t>RB</t>
  </si>
  <si>
    <t>AI</t>
  </si>
  <si>
    <t>OD</t>
  </si>
  <si>
    <t>MN</t>
  </si>
  <si>
    <t>MM</t>
  </si>
  <si>
    <t xml:space="preserve">AP1/11i /1.2 </t>
  </si>
  <si>
    <t>**</t>
  </si>
  <si>
    <t>***</t>
  </si>
  <si>
    <t>IP2/2015</t>
  </si>
  <si>
    <t>IP5/2016</t>
  </si>
  <si>
    <t>regiune mai dezvoltată</t>
  </si>
  <si>
    <t>regiune mai puțin dezvoltată</t>
  </si>
  <si>
    <t>AA4/ 21.11.2017</t>
  </si>
  <si>
    <t>n.a</t>
  </si>
  <si>
    <t>AA5/ 27.11.2017</t>
  </si>
  <si>
    <t>AA3/ 12.10.2017</t>
  </si>
  <si>
    <t>AA6/ 21.11.2017</t>
  </si>
  <si>
    <t>AA2 / 17.10.2017</t>
  </si>
  <si>
    <t>AA2 /14.09.2017</t>
  </si>
  <si>
    <t>AA1 /26.04.2017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</si>
  <si>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</si>
  <si>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</si>
  <si>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</si>
  <si>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</si>
  <si>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</si>
  <si>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</si>
  <si>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</si>
  <si>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</si>
  <si>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1.Asociația pentru Democrației</t>
  </si>
  <si>
    <t>1. Ministerul Muncii și Justiției Sociale
2. Agenția Națională a Funcționarilor Publici</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</si>
  <si>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</si>
  <si>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</si>
  <si>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</si>
  <si>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</si>
  <si>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</si>
  <si>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</si>
  <si>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</si>
  <si>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</si>
  <si>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</si>
  <si>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AA1/22.01.18</t>
  </si>
  <si>
    <t>AA7/25.01.2018</t>
  </si>
  <si>
    <t>Omdrapfe nr. 222/23.01.18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</si>
  <si>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</si>
  <si>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</si>
  <si>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</si>
  <si>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</si>
  <si>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Primăria Municipiului Tecuci</t>
  </si>
  <si>
    <t>Primăria Municipiului Turda</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</si>
  <si>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</si>
  <si>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</si>
  <si>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</si>
  <si>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</si>
  <si>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</si>
  <si>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</si>
  <si>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</si>
  <si>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</si>
  <si>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</si>
  <si>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Crt. No.</t>
  </si>
  <si>
    <t>Priority Axis/Investment priority</t>
  </si>
  <si>
    <t>Call no.</t>
  </si>
  <si>
    <t>Project title</t>
  </si>
  <si>
    <t>SIPOCA Code</t>
  </si>
  <si>
    <t>Benficiary Name</t>
  </si>
  <si>
    <t>Partner Name</t>
  </si>
  <si>
    <t>Project summary</t>
  </si>
  <si>
    <t>Start date</t>
  </si>
  <si>
    <t>End date</t>
  </si>
  <si>
    <t>Region</t>
  </si>
  <si>
    <t>County</t>
  </si>
  <si>
    <t>Locality</t>
  </si>
  <si>
    <t>Union co-financing rate</t>
  </si>
  <si>
    <t>Beneficiary type</t>
  </si>
  <si>
    <t>Area of intervention</t>
  </si>
  <si>
    <t>Eligible value of the project (LEI)</t>
  </si>
  <si>
    <t>EU Funds</t>
  </si>
  <si>
    <t>More developed regions</t>
  </si>
  <si>
    <t>Less developed regions</t>
  </si>
  <si>
    <t>National Budget</t>
  </si>
  <si>
    <t>Beneficiary private contribution</t>
  </si>
  <si>
    <t>private contribution</t>
  </si>
  <si>
    <t>Eligible value of the project</t>
  </si>
  <si>
    <t>Non eligible expenditure</t>
  </si>
  <si>
    <t>Total value of the project</t>
  </si>
  <si>
    <t>Project status</t>
  </si>
  <si>
    <t>Aditional Act  no.</t>
  </si>
  <si>
    <t>National contribution</t>
  </si>
  <si>
    <t>AA3/ 18.01.2018</t>
  </si>
  <si>
    <t>APT_SMC – Administrație Publică eficienTă prin Sistem de Management al Calității</t>
  </si>
  <si>
    <t>Judeţul Dâmbovița</t>
  </si>
  <si>
    <t xml:space="preserve">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</si>
  <si>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</si>
  <si>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</si>
  <si>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</si>
  <si>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</si>
  <si>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</si>
  <si>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</si>
  <si>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</si>
  <si>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</si>
  <si>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</si>
  <si>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</si>
  <si>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</si>
  <si>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</si>
  <si>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</si>
  <si>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</si>
  <si>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Primăria Municipiului 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</si>
  <si>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</si>
  <si>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</si>
  <si>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</si>
  <si>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</si>
  <si>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</si>
  <si>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</si>
  <si>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</si>
  <si>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</si>
  <si>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</si>
  <si>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</si>
  <si>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</si>
  <si>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</si>
  <si>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</si>
  <si>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</si>
  <si>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</si>
  <si>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</si>
  <si>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Municipiului
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</si>
  <si>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</si>
  <si>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</si>
  <si>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</si>
  <si>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</si>
  <si>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</si>
  <si>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</si>
  <si>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</si>
  <si>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</si>
  <si>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</si>
  <si>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</si>
  <si>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</si>
  <si>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</si>
  <si>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</si>
  <si>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</si>
  <si>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</si>
  <si>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Judetul Gorj</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</si>
  <si>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</si>
  <si>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</si>
  <si>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</si>
  <si>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</si>
  <si>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</si>
  <si>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</si>
  <si>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Primăria Municipiului Huși</t>
  </si>
  <si>
    <t>Primăria Municipiului Vaslui</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</si>
  <si>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</si>
  <si>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</si>
  <si>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</si>
  <si>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</si>
  <si>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</si>
  <si>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</si>
  <si>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</si>
  <si>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</si>
  <si>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</si>
  <si>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</si>
  <si>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MUNICIPIUL TG - JIU</t>
  </si>
  <si>
    <t>JUDEȚUL GORJ</t>
  </si>
  <si>
    <t>CALITATE = EFICIENTA = PERFORMANTA</t>
  </si>
  <si>
    <t>Asigurarea managementului performantei si calitatii in Municipiul Ploiesti</t>
  </si>
  <si>
    <t>Municipiul PLOIEȘTI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</si>
  <si>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</si>
  <si>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</si>
  <si>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</si>
  <si>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</si>
  <si>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 xml:space="preserve">Omdrapfe nr.  2261/27.02.2018 </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</si>
  <si>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</si>
  <si>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</si>
  <si>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</si>
  <si>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</si>
  <si>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</si>
  <si>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Sect. 4 București</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</si>
  <si>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</si>
  <si>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</si>
  <si>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</si>
  <si>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Jud. Brasov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</si>
  <si>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</si>
  <si>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</si>
  <si>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</si>
  <si>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</si>
  <si>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</si>
  <si>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</si>
  <si>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</si>
  <si>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</si>
  <si>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</si>
  <si>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</si>
  <si>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</si>
  <si>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</si>
  <si>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</si>
  <si>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 xml:space="preserve">Ministerul Dezvoltării Regionale și Administrației Publice </t>
  </si>
  <si>
    <t xml:space="preserve">Ministerul Dezvoltării Regionale și Administrației Publice  - Direcția Integritate, Bună Guvernare și Politici Publice </t>
  </si>
  <si>
    <t>CP4 more /2017</t>
  </si>
  <si>
    <t>CP4 less /2017</t>
  </si>
  <si>
    <t>Management performant la nivelul Primăriei Mangalia</t>
  </si>
  <si>
    <t>Municipiul Mangalia</t>
  </si>
  <si>
    <t>Constanța</t>
  </si>
  <si>
    <t>Mangalia</t>
  </si>
  <si>
    <t>CETATE.Caransebeş, Eficient şi Tânăr prin Administrare Transparentă şi Economică</t>
  </si>
  <si>
    <t>Municipiul  Cransebeș</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</si>
  <si>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</si>
  <si>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</si>
  <si>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</si>
  <si>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</si>
  <si>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</si>
  <si>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</si>
  <si>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</si>
  <si>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</si>
  <si>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</si>
  <si>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</si>
  <si>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</si>
  <si>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</si>
  <si>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</si>
  <si>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</si>
  <si>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r>
      <t>“Calitate, eficiență și performanță a managementului la nivelul UAT Municipiul Zalău (CEP UAT Zalău)</t>
    </r>
    <r>
      <rPr>
        <i/>
        <sz val="11"/>
        <color theme="1"/>
        <rFont val="Trebuchet MS"/>
        <family val="2"/>
      </rPr>
      <t>”</t>
    </r>
  </si>
  <si>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</si>
  <si>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</si>
  <si>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</si>
  <si>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</si>
  <si>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</si>
  <si>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Muncipiul Alba Iulia</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</si>
  <si>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</si>
  <si>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</si>
  <si>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</si>
  <si>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</si>
  <si>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r>
      <t>FEDERA</t>
    </r>
    <r>
      <rPr>
        <b/>
        <sz val="11"/>
        <color theme="1"/>
        <rFont val="Calibri"/>
        <family val="1"/>
        <charset val="1"/>
      </rPr>
      <t>Ţ</t>
    </r>
    <r>
      <rPr>
        <b/>
        <sz val="11"/>
        <color theme="1"/>
        <rFont val="Calibri"/>
        <family val="2"/>
        <charset val="1"/>
      </rPr>
      <t>IA NA</t>
    </r>
    <r>
      <rPr>
        <b/>
        <sz val="11"/>
        <color theme="1"/>
        <rFont val="Calibri"/>
        <family val="1"/>
        <charset val="1"/>
      </rPr>
      <t>Ţ</t>
    </r>
    <r>
      <rPr>
        <b/>
        <sz val="11"/>
        <color theme="1"/>
        <rFont val="Calibri"/>
        <family val="2"/>
        <charset val="1"/>
      </rPr>
      <t xml:space="preserve">IONALĂ A SINDICATELOR MUNCII </t>
    </r>
    <r>
      <rPr>
        <b/>
        <sz val="11"/>
        <color theme="1"/>
        <rFont val="Calibri"/>
        <family val="1"/>
        <charset val="1"/>
      </rPr>
      <t>Ș</t>
    </r>
    <r>
      <rPr>
        <b/>
        <sz val="11"/>
        <color theme="1"/>
        <rFont val="Calibri"/>
        <family val="2"/>
        <charset val="1"/>
      </rPr>
      <t>I PROTEC</t>
    </r>
    <r>
      <rPr>
        <b/>
        <sz val="11"/>
        <color theme="1"/>
        <rFont val="Calibri"/>
        <family val="1"/>
        <charset val="1"/>
      </rPr>
      <t>Ţ</t>
    </r>
    <r>
      <rPr>
        <b/>
        <sz val="11"/>
        <color theme="1"/>
        <rFont val="Calibri"/>
        <family val="2"/>
        <charset val="1"/>
      </rPr>
      <t>IEI SOCIALE</t>
    </r>
  </si>
  <si>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</si>
  <si>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</si>
  <si>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</si>
  <si>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</si>
  <si>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</si>
  <si>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</si>
  <si>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</si>
  <si>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</si>
  <si>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</si>
  <si>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</si>
  <si>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</si>
  <si>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</si>
  <si>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</si>
  <si>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</si>
  <si>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</si>
  <si>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</si>
  <si>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</si>
  <si>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</si>
  <si>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</si>
  <si>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</si>
  <si>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</si>
  <si>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</si>
  <si>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AA1/03.04.2018</t>
  </si>
  <si>
    <t>Primăria municipiului Cluj-Napoca</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</si>
  <si>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</si>
  <si>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</si>
  <si>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</si>
  <si>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</si>
  <si>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</si>
  <si>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</si>
  <si>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</si>
  <si>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</si>
  <si>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</si>
  <si>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</si>
  <si>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2. Dezvoltarea si promovarea a unui mecanism de monitorizare si a 2 politici publice alternative în domeniul educației.</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</si>
  <si>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</si>
  <si>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</si>
  <si>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</si>
  <si>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</si>
  <si>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</si>
  <si>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r>
      <t xml:space="preserve">MINISITERUL DEZVOLTĂRII REGIONALE, ADMINISTRAȚIEI PUBLICE ȘI FONDURILOR EUROPENE
</t>
    </r>
    <r>
      <rPr>
        <sz val="11"/>
        <color theme="1"/>
        <rFont val="Calibri"/>
        <family val="2"/>
        <charset val="238"/>
        <scheme val="minor"/>
      </rPr>
      <t>Direcția Generală Administrație Publică, Direcția pentru Strategii și Reforme în Administrația Publică</t>
    </r>
  </si>
  <si>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</si>
  <si>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</si>
  <si>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</si>
  <si>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</si>
  <si>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</si>
  <si>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</si>
  <si>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</si>
  <si>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</si>
  <si>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</si>
  <si>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</si>
  <si>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</si>
  <si>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</si>
  <si>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</si>
  <si>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</si>
  <si>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</si>
  <si>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</si>
  <si>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</si>
  <si>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</si>
  <si>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</si>
  <si>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</si>
  <si>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</si>
  <si>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</si>
  <si>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</si>
  <si>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</si>
  <si>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</si>
  <si>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</si>
  <si>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</si>
  <si>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</si>
  <si>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</si>
  <si>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</si>
  <si>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</si>
  <si>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</si>
  <si>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</si>
  <si>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MySMIS Code</t>
  </si>
  <si>
    <t>AA6 /21.02.2018</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</si>
  <si>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</si>
  <si>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</si>
  <si>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</si>
  <si>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</si>
  <si>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</si>
  <si>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</si>
  <si>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</si>
  <si>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</si>
  <si>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</si>
  <si>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</si>
  <si>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</si>
  <si>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</si>
  <si>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</si>
  <si>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</si>
  <si>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AA2/03.05.2018</t>
  </si>
  <si>
    <t>Implementarea unui sistem de management performant pentru imbunatatirea proceselor interne și cresterea calitatii serviciilor Primariei Sectorului 6 Bucureşti</t>
  </si>
  <si>
    <t>Sect. 6 București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</si>
  <si>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</si>
  <si>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r>
      <t xml:space="preserve">MINISITERUL DEZVOLTĂRII REGIONALE, ADMINISTRAȚIEI PUBLICE ȘI FONDURILOR EUROPENE
</t>
    </r>
    <r>
      <rPr>
        <sz val="12"/>
        <rFont val="Calibri"/>
        <family val="2"/>
        <charset val="238"/>
        <scheme val="minor"/>
      </rPr>
      <t>Direcția generală dezvoltare regională și infrastructură</t>
    </r>
  </si>
  <si>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</si>
  <si>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</si>
  <si>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</si>
  <si>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</si>
  <si>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Omdrap 4668/27.04.2018</t>
  </si>
  <si>
    <t>Sistem integrat de management pentru o societate informațională performantă (SIMSIP)</t>
  </si>
  <si>
    <t>Ministerul Comunicațiilor și Societații Informaționale</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</si>
  <si>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</si>
  <si>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</si>
  <si>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</si>
  <si>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</si>
  <si>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</si>
  <si>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</si>
  <si>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Primăria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</si>
  <si>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</si>
  <si>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</si>
  <si>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</si>
  <si>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</si>
  <si>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</si>
  <si>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</si>
  <si>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</si>
  <si>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</si>
  <si>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</si>
  <si>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</si>
  <si>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</si>
  <si>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</si>
  <si>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</si>
  <si>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</si>
  <si>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</si>
  <si>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</si>
  <si>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</si>
  <si>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</si>
  <si>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</si>
  <si>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</si>
  <si>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</si>
  <si>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</si>
  <si>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</si>
  <si>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</si>
  <si>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</si>
  <si>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</si>
  <si>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</si>
  <si>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</si>
  <si>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</si>
  <si>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</si>
  <si>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</si>
  <si>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</si>
  <si>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</si>
  <si>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</si>
  <si>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Ministerul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</si>
  <si>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</si>
  <si>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</si>
  <si>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</si>
  <si>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</si>
  <si>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</si>
  <si>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</si>
  <si>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</si>
  <si>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</si>
  <si>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</si>
  <si>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</si>
  <si>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</si>
  <si>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Obiectivul general: Implementarea / consolidarea si sustinerea unui management performant la nivelul Primariei Municipiului Sebes si al institutiilor subordonate, realizate prin aplicarea CAF ca instrument de îmbunatatire a performantelor Sistemului de Management al Calitatii al Primariei Sebes, pentru crearea unei administratii publice moderne, capabila sa faciliteze dezvoltarea socio-economica prin intermediul
unor servicii publice competitive.                                                                                                                                                                                                                                    OS 1 – Implementarea de sisteme unitare de management al calitatii aplicabile administratiei publice, prin utilizarea instrumentului
CAF, inclusiv formarea/ instruirea specifica a personalului Primariei Municipiului Sebes pentru implementarea instrumentului CAF
2. OS 2 – Consolidarea SMC prin actiuni de îmbunatatire rezultate în urma evaluarii pe baza criteriilor modelului CAF
3. OS 3 – Dezvoltarea abilitatilor personalului din cadrul Primariei Municipiului Sdebes si al institutiilor subordonate Primariei Sebes
prin:
• asigurarea formarii profesionale a 10 persoane din cadrul primariei Municpiului Sebes pentru efectuarea autoevaluarii
SMC utilizând modelul CAF;
• asigurarea formarii profesionale a 46 persoane din grupul tinta, pentru implementarea Sistemului de Mangement al
Calitatii, integrarea SMC cu SCIM si monitorizarea acestuia cu ajutorul instrumentului CAF.
• dezvoltarea unui Ghid de buna practica privind integrarea SMC cu SCIM în cadrul UAT si evaluarea performantelor SMC
pe baza Modelului CAF
4. OS 4 – Asigurarea unui instrument suport pentru SMC prin proiectarea si implementarea unui sistem informatic.
5. OS 5 – Promovarea standardelor si instrumentelor managementului calitatii prin oOrganizarea si derularea unei conferinte de
informare/ constientizare privind principiile si instrumentele managementului calitatii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</si>
  <si>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</si>
  <si>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</si>
  <si>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</si>
  <si>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</si>
  <si>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</si>
  <si>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</si>
  <si>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</si>
  <si>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</si>
  <si>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</si>
  <si>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</si>
  <si>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</si>
  <si>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</si>
  <si>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</si>
  <si>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</si>
  <si>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</si>
  <si>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 xml:space="preserve">Obiectiv general:
Dezvoltarea capacitatii societatii civile, ca împreuna cu UAT, sa contribuie la sustinerea si dezvoltarea economiei sociale prin sprijinirea
initiativelor antreprenoriale care vizeaza infiintarea de structuri de economie sociala in Romania (SES).
OS3. Formularea propunerilor de Politici Publice.
OS1. Crearea unui parteneriat public-privat la nivel national, format din 160 de reprezentati ai UAT si organizatii civice din
Romania, pentru formularea si promovarea de propuneri alternative la politicile publice initiate de Guvern.
OS2. Formarea membrilor GT , pentru cresterea capacitatii de a identifica probleme in comunitate si a formula politici publice
alternative.
</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</si>
  <si>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</si>
  <si>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</si>
  <si>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</si>
  <si>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</si>
  <si>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</si>
  <si>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</si>
  <si>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</si>
  <si>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</si>
  <si>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</si>
  <si>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</si>
  <si>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</si>
  <si>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</si>
  <si>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</si>
  <si>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</si>
  <si>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</si>
  <si>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</si>
  <si>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</si>
  <si>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</si>
  <si>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</si>
  <si>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</si>
  <si>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</si>
  <si>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</si>
  <si>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</si>
  <si>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</si>
  <si>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</si>
  <si>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</si>
  <si>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</si>
  <si>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</si>
  <si>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</si>
  <si>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</si>
  <si>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</si>
  <si>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</si>
  <si>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</si>
  <si>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</si>
  <si>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</si>
  <si>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</si>
  <si>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</si>
  <si>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</si>
  <si>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</si>
  <si>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</si>
  <si>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charset val="238"/>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</si>
  <si>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t>Politici publice pentru dezvoltare durabilă</t>
  </si>
  <si>
    <t>Asociația ,,Centrul pentru Politici Publice Durabile Ecopolis”</t>
  </si>
  <si>
    <r>
      <rPr>
        <b/>
        <sz val="12"/>
        <rFont val="Calibri"/>
        <family val="2"/>
        <scheme val="minor"/>
      </rPr>
      <t xml:space="preserve">Obiectiv general  </t>
    </r>
    <r>
      <rPr>
        <sz val="12"/>
        <rFont val="Calibri"/>
        <family val="2"/>
        <charset val="238"/>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</si>
  <si>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</si>
  <si>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</si>
  <si>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</si>
  <si>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</si>
  <si>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</si>
  <si>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</si>
  <si>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</si>
  <si>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</si>
  <si>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</si>
  <si>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</si>
  <si>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</si>
  <si>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</si>
  <si>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</si>
  <si>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</si>
  <si>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</si>
  <si>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</si>
  <si>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</si>
  <si>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</si>
  <si>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</si>
  <si>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</si>
  <si>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</si>
  <si>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</si>
  <si>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</si>
  <si>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</si>
  <si>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</si>
  <si>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</si>
  <si>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</si>
  <si>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</si>
  <si>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SD</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</si>
  <si>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</si>
  <si>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</si>
  <si>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</si>
  <si>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</si>
  <si>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</si>
  <si>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</si>
  <si>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</si>
  <si>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</si>
  <si>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</si>
  <si>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</si>
  <si>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</si>
  <si>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</si>
  <si>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</si>
  <si>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</si>
  <si>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</si>
  <si>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</si>
  <si>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</si>
  <si>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</si>
  <si>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</si>
  <si>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</si>
  <si>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</si>
  <si>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</si>
  <si>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</si>
  <si>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</si>
  <si>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</si>
  <si>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</si>
  <si>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</si>
  <si>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</si>
  <si>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</si>
  <si>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</si>
  <si>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</si>
  <si>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</si>
  <si>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</si>
  <si>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</si>
  <si>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</si>
  <si>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</si>
  <si>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</si>
  <si>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</si>
  <si>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</si>
  <si>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</si>
  <si>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</si>
  <si>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</si>
  <si>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t>Munuicipiul Craiova</t>
  </si>
  <si>
    <r>
      <t>SIMCA -</t>
    </r>
    <r>
      <rPr>
        <sz val="10"/>
        <color theme="1"/>
        <rFont val="Calibri"/>
        <family val="2"/>
        <scheme val="minor"/>
      </rPr>
      <t xml:space="preserve"> </t>
    </r>
    <r>
      <rPr>
        <sz val="11"/>
        <color theme="1"/>
        <rFont val="Calibri"/>
        <family val="2"/>
        <scheme val="minor"/>
      </rPr>
      <t>Standarde și Instrumente în Implementarea Managementului Calității Administrative la nivelul Primăriei Municipiului Craiova</t>
    </r>
  </si>
  <si>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</si>
  <si>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ET</t>
  </si>
  <si>
    <t>Dezvoltarea unui management performant în cadrul primăriei municipiului Lugoj prin optimizarea proceselor orientate către beneficiari și pregătirea resurselor umane</t>
  </si>
  <si>
    <t>Municipiului Lugoj</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</si>
  <si>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</si>
  <si>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</si>
  <si>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</si>
  <si>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Cresterea capacitaþii administrative a Municipiului Constanþa prin introducerea si menþinerea
sistemului de management al calitaþii ISO 9001</t>
  </si>
  <si>
    <t>Municipiul Constanta</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</si>
  <si>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</si>
  <si>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</si>
  <si>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</si>
  <si>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</si>
  <si>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</si>
  <si>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Integritatea - condiþie esenþiala pentru o
administratie eficienta</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</si>
  <si>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</si>
  <si>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</si>
  <si>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</si>
  <si>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</si>
  <si>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</si>
  <si>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</si>
  <si>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</si>
  <si>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</si>
  <si>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</si>
  <si>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</si>
  <si>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</si>
  <si>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</si>
  <si>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</si>
  <si>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</si>
  <si>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</si>
  <si>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</si>
  <si>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</si>
  <si>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</si>
  <si>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</si>
  <si>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</si>
  <si>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</si>
  <si>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</si>
  <si>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</si>
  <si>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</si>
  <si>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DJ</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</si>
  <si>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</si>
  <si>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</si>
  <si>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</si>
  <si>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</si>
  <si>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</si>
  <si>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</si>
  <si>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</si>
  <si>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</si>
  <si>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</si>
  <si>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</si>
  <si>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r>
      <rPr>
        <b/>
        <sz val="12"/>
        <rFont val="Calibri"/>
        <family val="2"/>
      </rPr>
      <t>Obiectivul general</t>
    </r>
    <r>
      <rPr>
        <sz val="12"/>
        <rFont val="Calibri"/>
        <family val="2"/>
        <charset val="238"/>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rPr>
      <t>Obiectivele specifice ale proiectului</t>
    </r>
    <r>
      <rPr>
        <sz val="12"/>
        <rFont val="Calibri"/>
        <family val="2"/>
        <charset val="238"/>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</si>
  <si>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</si>
  <si>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</si>
  <si>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GC</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</si>
  <si>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</si>
  <si>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</si>
  <si>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</si>
  <si>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</si>
  <si>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</si>
  <si>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</si>
  <si>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AP 2/11i/2.2</t>
  </si>
  <si>
    <t>AA7 /23.05.2018</t>
  </si>
  <si>
    <t>MaraQuality</t>
  </si>
  <si>
    <t>Județul Maramureș</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</si>
  <si>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</si>
  <si>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</si>
  <si>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</si>
  <si>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</si>
  <si>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</si>
  <si>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</si>
  <si>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MINISTERUL MEDIULUI</t>
  </si>
  <si>
    <t>Aplicarea sistemului de politici bazate pe
dovezi în Ministerul Mediului pentru
sistematizarea si simplificarea legislaþiei din
domeniul deseurilor si realizarea unor
proceduri simplificate pentru reducerea
poverii administrative pentru mediul de
afaceri în domeniul schimbarilor climatice</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</si>
  <si>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</si>
  <si>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</si>
  <si>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</si>
  <si>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</si>
  <si>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</si>
  <si>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</si>
  <si>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</si>
  <si>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</si>
  <si>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</si>
  <si>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</si>
  <si>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</si>
  <si>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</si>
  <si>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</si>
  <si>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</si>
  <si>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</si>
  <si>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</si>
  <si>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</si>
  <si>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</si>
  <si>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</si>
  <si>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</si>
  <si>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</si>
  <si>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</si>
  <si>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</si>
  <si>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</si>
  <si>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</si>
  <si>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</si>
  <si>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</si>
  <si>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</si>
  <si>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</si>
  <si>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</si>
  <si>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</si>
  <si>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</si>
  <si>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</si>
  <si>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</si>
  <si>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</si>
  <si>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</si>
  <si>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</si>
  <si>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</si>
  <si>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</si>
  <si>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</si>
  <si>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</si>
  <si>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</si>
  <si>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</si>
  <si>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</si>
  <si>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</si>
  <si>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</si>
  <si>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</si>
  <si>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AA4/ 10.07.2018</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</si>
  <si>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</si>
  <si>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</si>
  <si>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</si>
  <si>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</si>
  <si>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</si>
  <si>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</si>
  <si>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</si>
  <si>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</si>
  <si>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</si>
  <si>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</si>
  <si>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</si>
  <si>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</si>
  <si>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</si>
  <si>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</si>
  <si>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</si>
  <si>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</si>
  <si>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</si>
  <si>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MINISTERUL CULTURII SI IDENTITATII NATIONALE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</si>
  <si>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</si>
  <si>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</si>
  <si>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Servicii de consiliere juridică pentru victime ale unor abuzuri sau nereguli din administrație și justiție</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</si>
  <si>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</si>
  <si>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</si>
  <si>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</si>
  <si>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</si>
  <si>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</si>
  <si>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</si>
  <si>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</si>
  <si>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</si>
  <si>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</si>
  <si>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</si>
  <si>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</si>
  <si>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</si>
  <si>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</si>
  <si>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</si>
  <si>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</si>
  <si>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</si>
  <si>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</si>
  <si>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</si>
  <si>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</si>
  <si>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</si>
  <si>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AA4/ 12.06.2018
AA5/19.07.2018 PRELUNGIRE 6 LUNI</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</si>
  <si>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</si>
  <si>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</si>
  <si>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</si>
  <si>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</si>
  <si>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</si>
  <si>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</si>
  <si>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</si>
  <si>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</si>
  <si>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</si>
  <si>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</si>
  <si>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</si>
  <si>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</si>
  <si>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</si>
  <si>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</si>
  <si>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r>
      <rPr>
        <b/>
        <sz val="12"/>
        <rFont val="Calibri"/>
        <family val="2"/>
        <scheme val="minor"/>
      </rPr>
      <t>Obiectivul general</t>
    </r>
    <r>
      <rPr>
        <sz val="12"/>
        <rFont val="Calibri"/>
        <family val="2"/>
        <charset val="238"/>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charset val="238"/>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</si>
  <si>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</si>
  <si>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</si>
  <si>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</si>
  <si>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</si>
  <si>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</si>
  <si>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</si>
  <si>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</si>
  <si>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</si>
  <si>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</si>
  <si>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</si>
  <si>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</si>
  <si>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</si>
  <si>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Municipiul Fetesti</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</si>
  <si>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</si>
  <si>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</si>
  <si>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</si>
  <si>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</si>
  <si>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</si>
  <si>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</si>
  <si>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</si>
  <si>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Ministerul Apelor și Pădurilor</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</si>
  <si>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</si>
  <si>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</si>
  <si>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</si>
  <si>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</si>
  <si>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</si>
  <si>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AA4/27.07.2018</t>
  </si>
  <si>
    <t>DSS</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</si>
  <si>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</si>
  <si>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</si>
  <si>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</si>
  <si>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</si>
  <si>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</si>
  <si>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</si>
  <si>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</si>
  <si>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</si>
  <si>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</si>
  <si>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</si>
  <si>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</si>
  <si>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</si>
  <si>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</si>
  <si>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</si>
  <si>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</si>
  <si>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</si>
  <si>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</si>
  <si>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</si>
  <si>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</si>
  <si>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</si>
  <si>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</si>
  <si>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</si>
  <si>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</si>
  <si>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</si>
  <si>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</si>
  <si>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</si>
  <si>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</si>
  <si>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în implementare</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</si>
  <si>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</si>
  <si>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</si>
  <si>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</si>
  <si>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</si>
  <si>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</si>
  <si>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</si>
  <si>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</si>
  <si>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</si>
  <si>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</si>
  <si>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</si>
  <si>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</si>
  <si>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</si>
  <si>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</si>
  <si>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</si>
  <si>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</si>
  <si>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</si>
  <si>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</si>
  <si>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</si>
  <si>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</si>
  <si>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</si>
  <si>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AA5 /06.08.18</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</si>
  <si>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</si>
  <si>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</si>
  <si>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</si>
  <si>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</si>
  <si>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</si>
  <si>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</si>
  <si>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</si>
  <si>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</si>
  <si>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</si>
  <si>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</si>
  <si>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</si>
  <si>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</si>
  <si>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</si>
  <si>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</si>
  <si>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 xml:space="preserve">Proiectul are ca obiectiv general:Crearea şi dezvoltarea unui cadru unitar pentru realizarea unui management performant la nivelul Primariei Mangalia, prin introducerea de sisteme și standarde comune ce optimizează procesele orientate catre beneficiari in concordanta cu SCAP.
OS 1 - Performanta organizationala crescuta prin implementarea Instrumentului de auto-evaluare a modului de funcţionare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
</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</si>
  <si>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</si>
  <si>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</si>
  <si>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</si>
  <si>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</si>
  <si>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</si>
  <si>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</si>
  <si>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</si>
  <si>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</si>
  <si>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</si>
  <si>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</si>
  <si>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</si>
  <si>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</si>
  <si>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</si>
  <si>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</si>
  <si>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</si>
  <si>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</si>
  <si>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</si>
  <si>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</si>
  <si>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</si>
  <si>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</si>
  <si>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</si>
  <si>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</si>
  <si>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</si>
  <si>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</si>
  <si>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</si>
  <si>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</si>
  <si>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</si>
  <si>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</si>
  <si>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</si>
  <si>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</si>
  <si>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</si>
  <si>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</si>
  <si>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</si>
  <si>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</si>
  <si>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</si>
  <si>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</si>
  <si>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</si>
  <si>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</si>
  <si>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</si>
  <si>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</si>
  <si>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</si>
  <si>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</si>
  <si>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</si>
  <si>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</si>
  <si>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</si>
  <si>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</si>
  <si>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</si>
  <si>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</si>
  <si>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</si>
  <si>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</si>
  <si>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</si>
  <si>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</si>
  <si>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</si>
  <si>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</si>
  <si>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</si>
  <si>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</si>
  <si>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</si>
  <si>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</si>
  <si>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</si>
  <si>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</si>
  <si>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</si>
  <si>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AP 2/11i/2.1</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</si>
  <si>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</si>
  <si>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</si>
  <si>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</si>
  <si>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</si>
  <si>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</si>
  <si>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</si>
  <si>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</si>
  <si>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</si>
  <si>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</si>
  <si>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</si>
  <si>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</si>
  <si>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Municipiul ROMAN</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</si>
  <si>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</si>
  <si>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</si>
  <si>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</si>
  <si>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</si>
  <si>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</si>
  <si>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</si>
  <si>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Asociația Mesteșukar Mobil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</si>
  <si>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</si>
  <si>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</si>
  <si>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</si>
  <si>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</si>
  <si>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</si>
  <si>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</si>
  <si>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</si>
  <si>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</si>
  <si>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</si>
  <si>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</si>
  <si>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</si>
  <si>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</si>
  <si>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</si>
  <si>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</si>
  <si>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</si>
  <si>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 xml:space="preserve">1. Scoala Nationala de Grefieri;                                         2. Inspectia Judiciara                        3. Parchetul de pe langa Inalta Curte de Casatie si Justitie/adjunct procuror general                                                 4. Institutul National al Magistraturii                                                         5. Ministerul Justitiei                                                                                                                  </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</si>
  <si>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</si>
  <si>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</si>
  <si>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</si>
  <si>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</si>
  <si>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</si>
  <si>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</si>
  <si>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</si>
  <si>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</si>
  <si>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</si>
  <si>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</si>
  <si>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</si>
  <si>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</si>
  <si>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</si>
  <si>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</si>
  <si>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</si>
  <si>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</si>
  <si>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</si>
  <si>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Sectorul 2 al Municipiului București</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</si>
  <si>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</si>
  <si>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</si>
  <si>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</si>
  <si>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</si>
  <si>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</si>
  <si>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</si>
  <si>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</si>
  <si>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</si>
  <si>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</si>
  <si>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Imbunatatirea calitatii serviciilor furnizate de primaria Municipiului Toplita prin introducerea si mentinerea sistemului de management al calitatii ISO9001:2015</t>
  </si>
  <si>
    <t>Toplița</t>
  </si>
  <si>
    <t>reziliat</t>
  </si>
  <si>
    <t>Consolidarea integritatii în institutiiile_x000D_
publice si în mediul de afaceri</t>
  </si>
  <si>
    <t>MINISTERUL FINANTELOR PUBLICE</t>
  </si>
  <si>
    <t>MINISTERUL ECONOMIEI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</si>
  <si>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</si>
  <si>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</si>
  <si>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</si>
  <si>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</si>
  <si>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</si>
  <si>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Act aditional nr. 1/13.09.2018</t>
  </si>
  <si>
    <t>AP 2/11i /2.1</t>
  </si>
  <si>
    <t>AP 2/11i /2.3</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</si>
  <si>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</si>
  <si>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</si>
  <si>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</si>
  <si>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</si>
  <si>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</si>
  <si>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</si>
  <si>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</si>
  <si>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</si>
  <si>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</si>
  <si>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</si>
  <si>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</si>
  <si>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</si>
  <si>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MINISTERUL TURISMULUI</t>
  </si>
  <si>
    <t>SECRETARIATUL GENERAL AL
Parteneri GUVERNULUI</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</si>
  <si>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</si>
  <si>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EDU Digital - Propunere alternativa de politica publica pentru simplificarea cadrului legislativ în
educaþie</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</si>
  <si>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</si>
  <si>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</si>
  <si>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</si>
  <si>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ASOCIAÞIA CREST</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</si>
  <si>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</si>
  <si>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</si>
  <si>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AA1/20.09.2018</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</si>
  <si>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</si>
  <si>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</si>
  <si>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</si>
  <si>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</si>
  <si>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</si>
  <si>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</si>
  <si>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</si>
  <si>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</si>
  <si>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MV</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</si>
  <si>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</si>
  <si>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</si>
  <si>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</si>
  <si>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</si>
  <si>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Omdrap nr. 5844/03.10.2018</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</si>
  <si>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</si>
  <si>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</si>
  <si>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r>
      <rPr>
        <sz val="12"/>
        <rFont val="Calibri"/>
        <family val="2"/>
        <scheme val="minor"/>
      </rP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charset val="238"/>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charset val="238"/>
        <scheme val="minor"/>
      </rPr>
      <t xml:space="preserve">
</t>
    </r>
  </si>
  <si>
    <t>SSD</t>
  </si>
  <si>
    <t>AP 2/11i /2.2</t>
  </si>
  <si>
    <t>AP2/11i /2.3</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</si>
  <si>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</si>
  <si>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</si>
  <si>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</si>
  <si>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</si>
  <si>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</si>
  <si>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</si>
  <si>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</si>
  <si>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</si>
  <si>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</si>
  <si>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</si>
  <si>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</si>
  <si>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</si>
  <si>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AA1 / 09.06.2017                                       AA2/12.10.2018</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</si>
  <si>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</si>
  <si>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</si>
  <si>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</si>
  <si>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</si>
  <si>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</si>
  <si>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</si>
  <si>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</si>
  <si>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</si>
  <si>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</si>
  <si>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</si>
  <si>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</si>
  <si>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</si>
  <si>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</si>
  <si>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</si>
  <si>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</si>
  <si>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</si>
  <si>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</si>
  <si>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AA2/18.10.2018</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</si>
  <si>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</si>
  <si>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</si>
  <si>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</si>
  <si>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</si>
  <si>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</si>
  <si>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</si>
  <si>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</si>
  <si>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</si>
  <si>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Obiectivul general al proiectului consta in dezvoltarea capacitatii administrative a municipiului Toplita, prin reproiectarea proceselor operationale pentru alinierea sistemului existent la cerintele sistemului de management al calitatii in conformitate cu prevederile standardului SR EN ISO 9001:2015, fapt ce va determina cresterea calitatii actului administrativ pe termen lung.
Obiectivele specifice ale proiectului
1. Obiectivele specifice ale proiectului sunt:
OS1-Revizuirea si optimizarea fluxurilor interne de lucru in vederea reproiectarii corespunzatoare a sistemului de management al calitatii la nivelul Primariei Municipiului Toplita
OS2-Realizarea tranzitiei sistemului de management al calitatii existent in conformitate cu prevederile standardului SR EN ISO
9001:2015, coroborata cu implementarea unui program informatic de management al documentelor, care va permite
imbunatatirea semnificativa a calitatii si eficientei serviciilor publice furnizate de catre Municipiul Toplita
OS3-Promovarea modernizarii in administratia publica locala din municipiul Toplita, prin specializarea personalului din cadrul
primariei pe teme specifice managementului calitatii (170 persoane), ceea ce va determina motivarea si mobilizarea acestora in directia inovatiei si in oferirea de servicii publice de calitate.</t>
  </si>
  <si>
    <t>AA1/01.11.2018</t>
  </si>
  <si>
    <t>Judetul Salaj</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</si>
  <si>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</si>
  <si>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</si>
  <si>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</si>
  <si>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</si>
  <si>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</si>
  <si>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</si>
  <si>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</si>
  <si>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AA 1/12.11.2018</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</si>
  <si>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</si>
  <si>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</si>
  <si>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</si>
  <si>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</si>
  <si>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</si>
  <si>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</si>
  <si>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</si>
  <si>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</si>
  <si>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</si>
  <si>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</si>
  <si>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</si>
  <si>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</si>
  <si>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</si>
  <si>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</si>
  <si>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</si>
  <si>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</si>
  <si>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</si>
  <si>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AA 1/29.11.2018</t>
  </si>
  <si>
    <t>AA2/03.12.2018</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</si>
  <si>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</si>
  <si>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</si>
  <si>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</si>
  <si>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</si>
  <si>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</si>
  <si>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</si>
  <si>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</si>
  <si>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</si>
  <si>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</si>
  <si>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120 - Investiții în capacitatea instituțională și în eficiența administrațiilor și a serviciilor publice la nivel național, regional și local, în perspectiva realizării de reforme, a unei mai bune legiferări și a bunei guvernanțe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</si>
  <si>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</si>
  <si>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</si>
  <si>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</si>
  <si>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</si>
  <si>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</si>
  <si>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</si>
  <si>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</si>
  <si>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</si>
  <si>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Municipiului Bacău</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</si>
  <si>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</si>
  <si>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</si>
  <si>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</si>
  <si>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</si>
  <si>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r>
      <t xml:space="preserve">Municipiului </t>
    </r>
    <r>
      <rPr>
        <sz val="12"/>
        <color theme="1"/>
        <rFont val="Times New Roman"/>
        <family val="1"/>
      </rPr>
      <t>Galați</t>
    </r>
  </si>
  <si>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</si>
  <si>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</si>
  <si>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</si>
  <si>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</si>
  <si>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</si>
  <si>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</si>
  <si>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</si>
  <si>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</si>
  <si>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</si>
  <si>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</si>
  <si>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Ministerul Energiei</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</si>
  <si>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</si>
  <si>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r>
      <rPr>
        <b/>
        <sz val="12"/>
        <rFont val="Calibri"/>
        <family val="2"/>
        <scheme val="minor"/>
      </rPr>
      <t>Obiectiv general:</t>
    </r>
    <r>
      <rPr>
        <sz val="12"/>
        <rFont val="Calibri"/>
        <family val="2"/>
        <charset val="238"/>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charset val="238"/>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</si>
  <si>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IP12/2018
(MuSMIS: 
POCA/ 399/1/1)</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</si>
  <si>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</si>
  <si>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</si>
  <si>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AP2/11i /2.1</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</si>
  <si>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</si>
  <si>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</si>
  <si>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</si>
  <si>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</si>
  <si>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</si>
  <si>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</si>
  <si>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</si>
  <si>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</si>
  <si>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</si>
  <si>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</si>
  <si>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Agenția Naționlă de Administrare Fiscală</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</si>
  <si>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</si>
  <si>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</si>
  <si>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</si>
  <si>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</si>
  <si>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</si>
  <si>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</si>
  <si>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Municipiului Sighișoara</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</si>
  <si>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</si>
  <si>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</si>
  <si>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</si>
  <si>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AA3 / 30.07.2018</t>
  </si>
  <si>
    <t>AA2/17.12.2018</t>
  </si>
  <si>
    <t>AA1/21.12.2018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</si>
  <si>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</si>
  <si>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</si>
  <si>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</si>
  <si>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</si>
  <si>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</si>
  <si>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</si>
  <si>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Munuicipiul Alba iulia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</si>
  <si>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</si>
  <si>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</si>
  <si>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</si>
  <si>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</si>
  <si>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</si>
  <si>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</si>
  <si>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</si>
  <si>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</si>
  <si>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</si>
  <si>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</si>
  <si>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Ministerul Cercetarii si Inovarii</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</si>
  <si>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</si>
  <si>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</si>
  <si>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</si>
  <si>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</si>
  <si>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</si>
  <si>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</si>
  <si>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</si>
  <si>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Rm. Sarat</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</si>
  <si>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</si>
  <si>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</si>
  <si>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</si>
  <si>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Autoritatea Națională Pentru Persoane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</si>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</sst>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l_e_i_-;\-* #,##0.00\ _l_e_i_-;_-* &quot;-&quot;??\ _l_e_i_-;_-@_-"/>
    <numFmt numFmtId="165" formatCode="0.000000000"/>
    <numFmt numFmtId="166" formatCode="#,##0.00_ ;\-#,##0.00\ "/>
    <numFmt numFmtId="167" formatCode="0.0000000"/>
    <numFmt numFmtId="168" formatCode="#,##0.000"/>
  </numFmts>
  <fonts count="5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1"/>
      <color theme="0"/>
      <name val="Calibri"/>
      <family val="2"/>
      <charset val="238"/>
      <scheme val="minor"/>
    </font>
    <font>
      <sz val="11"/>
      <color theme="1"/>
      <name val="Calibri"/>
      <family val="2"/>
      <charset val="238"/>
      <scheme val="minor"/>
    </font>
    <font>
      <sz val="12"/>
      <name val="Calibri"/>
      <family val="2"/>
      <charset val="238"/>
      <scheme val="minor"/>
    </font>
    <font>
      <sz val="12"/>
      <color theme="1"/>
      <name val="Calibri"/>
      <family val="2"/>
      <charset val="238"/>
      <scheme val="minor"/>
    </font>
    <font>
      <sz val="12"/>
      <name val="Calibri"/>
      <family val="2"/>
      <scheme val="minor"/>
    </font>
    <font>
      <sz val="12"/>
      <color theme="1"/>
      <name val="Trebuchet MS"/>
      <family val="2"/>
      <charset val="238"/>
    </font>
    <font>
      <sz val="12"/>
      <color theme="1"/>
      <name val="Calibri"/>
      <family val="2"/>
      <scheme val="minor"/>
    </font>
    <font>
      <sz val="12"/>
      <color theme="1"/>
      <name val="Trebuchet MS"/>
      <family val="2"/>
    </font>
    <font>
      <b/>
      <sz val="12"/>
      <name val="Calibri"/>
      <family val="2"/>
      <scheme val="minor"/>
    </font>
    <font>
      <b/>
      <sz val="11"/>
      <color theme="1"/>
      <name val="Calibri"/>
      <family val="2"/>
      <scheme val="minor"/>
    </font>
    <font>
      <sz val="10"/>
      <name val="Calibri"/>
      <family val="2"/>
    </font>
    <font>
      <sz val="10"/>
      <color theme="1"/>
      <name val="Calibri"/>
      <family val="2"/>
      <scheme val="minor"/>
    </font>
    <font>
      <b/>
      <sz val="10"/>
      <color theme="1"/>
      <name val="Trebuchet MS"/>
      <family val="2"/>
    </font>
    <font>
      <sz val="11"/>
      <color theme="1"/>
      <name val="Trebuchet MS"/>
      <family val="2"/>
    </font>
    <font>
      <sz val="11"/>
      <color theme="1"/>
      <name val="Calibri"/>
      <family val="2"/>
      <charset val="1"/>
      <scheme val="minor"/>
    </font>
    <font>
      <sz val="10"/>
      <color theme="1"/>
      <name val="Calibri"/>
      <family val="2"/>
      <charset val="1"/>
      <scheme val="minor"/>
    </font>
    <font>
      <b/>
      <sz val="11"/>
      <color theme="1"/>
      <name val="Calibri"/>
      <family val="2"/>
      <charset val="1"/>
      <scheme val="minor"/>
    </font>
    <font>
      <i/>
      <sz val="11"/>
      <color theme="1"/>
      <name val="Trebuchet MS"/>
      <family val="2"/>
    </font>
    <font>
      <sz val="12"/>
      <name val="Calibri"/>
      <family val="2"/>
      <charset val="1"/>
      <scheme val="minor"/>
    </font>
    <font>
      <b/>
      <sz val="11"/>
      <color theme="1"/>
      <name val="Calibri"/>
      <family val="1"/>
      <charset val="1"/>
    </font>
    <font>
      <b/>
      <sz val="11"/>
      <color theme="1"/>
      <name val="Calibri"/>
      <family val="2"/>
      <charset val="1"/>
    </font>
    <font>
      <sz val="12"/>
      <name val="Trebuchet MS"/>
      <family val="2"/>
    </font>
    <font>
      <b/>
      <sz val="10"/>
      <color theme="1"/>
      <name val="Arial"/>
      <family val="2"/>
    </font>
    <font>
      <sz val="12"/>
      <name val="Trebuchet MS"/>
      <family val="2"/>
    </font>
    <font>
      <sz val="12"/>
      <name val="Calibri"/>
      <family val="2"/>
      <scheme val="minor"/>
    </font>
    <font>
      <sz val="12"/>
      <color theme="1"/>
      <name val="Calibri"/>
      <family val="2"/>
      <scheme val="minor"/>
    </font>
    <font>
      <sz val="11"/>
      <name val="Calibri"/>
      <family val="2"/>
    </font>
    <font>
      <sz val="12"/>
      <color theme="1"/>
      <name val="Calibri"/>
      <family val="2"/>
      <charset val="1"/>
      <scheme val="minor"/>
    </font>
    <font>
      <sz val="11"/>
      <color indexed="8"/>
      <name val="Calibri"/>
      <family val="2"/>
      <scheme val="minor"/>
    </font>
    <font>
      <sz val="11"/>
      <name val="Calibri"/>
      <family val="2"/>
      <charset val="1"/>
      <scheme val="minor"/>
    </font>
    <font>
      <sz val="10"/>
      <name val="MS Sans Serif"/>
      <family val="2"/>
    </font>
    <font>
      <b/>
      <sz val="12"/>
      <name val="Calibri"/>
      <family val="2"/>
    </font>
    <font>
      <sz val="12"/>
      <name val="Calibri"/>
      <family val="2"/>
      <charset val="238"/>
    </font>
    <font>
      <sz val="12"/>
      <color rgb="FF000000"/>
      <name val="Calibri"/>
      <family val="2"/>
      <scheme val="minor"/>
    </font>
    <font>
      <sz val="11"/>
      <name val="Calibri"/>
      <family val="2"/>
      <charset val="238"/>
      <scheme val="minor"/>
    </font>
    <font>
      <sz val="10"/>
      <name val="Calibri"/>
      <family val="2"/>
      <charset val="1"/>
      <scheme val="minor"/>
    </font>
    <font>
      <b/>
      <sz val="11"/>
      <color theme="1"/>
      <name val="Trebuchet MS"/>
      <family val="2"/>
    </font>
    <font>
      <sz val="10"/>
      <color theme="1"/>
      <name val="Trebuchet MS"/>
      <family val="2"/>
    </font>
    <font>
      <sz val="12"/>
      <color theme="1"/>
      <name val="Times New Roman"/>
      <family val="1"/>
    </font>
    <font>
      <sz val="11"/>
      <name val="Calibri"/>
      <family val="2"/>
      <scheme val="minor"/>
    </font>
    <font>
      <sz val="12"/>
      <name val="Trebuchet MS"/>
      <family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6">
    <xf numFmtId="0" fontId="0" fillId="0" borderId="0"/>
    <xf numFmtId="164" fontId="16" fillId="0" borderId="0" applyFont="0" applyFill="0" applyBorder="0" applyAlignment="0" applyProtection="0"/>
    <xf numFmtId="164" fontId="16" fillId="0" borderId="0" applyFont="0" applyFill="0" applyBorder="0" applyAlignment="0" applyProtection="0"/>
    <xf numFmtId="0" fontId="43" fillId="0" borderId="0"/>
    <xf numFmtId="0" fontId="16"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5" fillId="0" borderId="0"/>
    <xf numFmtId="0" fontId="16" fillId="0" borderId="0"/>
    <xf numFmtId="0" fontId="16" fillId="0" borderId="0"/>
    <xf numFmtId="0" fontId="26" fillId="0" borderId="0"/>
    <xf numFmtId="0" fontId="9" fillId="0" borderId="0"/>
    <xf numFmtId="0" fontId="9" fillId="0" borderId="0"/>
  </cellStyleXfs>
  <cellXfs count="314">
    <xf numFmtId="0" fontId="0" fillId="0" borderId="0" xfId="0"/>
    <xf numFmtId="0" fontId="0" fillId="0" borderId="0" xfId="0" applyFont="1" applyFill="1"/>
    <xf numFmtId="0" fontId="17" fillId="0" borderId="3" xfId="0" applyNumberFormat="1" applyFont="1" applyFill="1" applyBorder="1" applyAlignment="1">
      <alignment horizontal="center" vertical="center" wrapText="1"/>
    </xf>
    <xf numFmtId="0" fontId="17" fillId="0" borderId="3" xfId="0" applyNumberFormat="1" applyFont="1" applyFill="1" applyBorder="1" applyAlignment="1">
      <alignment horizontal="justify" vertical="center" wrapText="1"/>
    </xf>
    <xf numFmtId="165" fontId="17" fillId="0" borderId="3"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3" xfId="0" applyNumberFormat="1" applyFont="1" applyFill="1" applyBorder="1" applyAlignment="1">
      <alignment horizontal="left" vertical="center" wrapText="1"/>
    </xf>
    <xf numFmtId="0" fontId="19" fillId="0" borderId="3" xfId="0" applyNumberFormat="1" applyFont="1" applyFill="1" applyBorder="1" applyAlignment="1">
      <alignment horizontal="left" vertical="center" wrapText="1"/>
    </xf>
    <xf numFmtId="14" fontId="19" fillId="0" borderId="3" xfId="0" applyNumberFormat="1" applyFont="1" applyFill="1" applyBorder="1" applyAlignment="1">
      <alignment horizontal="center" vertical="center" wrapText="1"/>
    </xf>
    <xf numFmtId="0" fontId="0" fillId="0" borderId="0" xfId="0" applyFont="1" applyFill="1" applyAlignment="1"/>
    <xf numFmtId="0" fontId="0" fillId="0" borderId="0" xfId="0" applyFont="1" applyFill="1" applyAlignment="1">
      <alignment horizontal="center"/>
    </xf>
    <xf numFmtId="0" fontId="17" fillId="0" borderId="3" xfId="0" applyNumberFormat="1" applyFont="1" applyFill="1" applyBorder="1" applyAlignment="1">
      <alignment horizontal="justify" vertical="top" wrapText="1"/>
    </xf>
    <xf numFmtId="166" fontId="17" fillId="0" borderId="3" xfId="1" applyNumberFormat="1"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165" fontId="19" fillId="0" borderId="3" xfId="0" applyNumberFormat="1" applyFont="1" applyFill="1" applyBorder="1" applyAlignment="1">
      <alignment horizontal="left" vertical="center" wrapText="1"/>
    </xf>
    <xf numFmtId="0" fontId="19" fillId="0" borderId="3" xfId="0" applyNumberFormat="1" applyFont="1" applyFill="1" applyBorder="1" applyAlignment="1">
      <alignment horizontal="justify" vertical="top" wrapText="1"/>
    </xf>
    <xf numFmtId="165" fontId="19" fillId="0" borderId="3" xfId="0" applyNumberFormat="1" applyFont="1" applyFill="1" applyBorder="1" applyAlignment="1">
      <alignment horizontal="center" vertical="center" wrapText="1"/>
    </xf>
    <xf numFmtId="0" fontId="17" fillId="0" borderId="3" xfId="0" applyNumberFormat="1" applyFont="1" applyFill="1" applyBorder="1" applyAlignment="1">
      <alignment horizontal="left" vertical="top" wrapText="1"/>
    </xf>
    <xf numFmtId="0" fontId="18" fillId="0" borderId="3" xfId="0" applyFont="1" applyFill="1" applyBorder="1" applyAlignment="1">
      <alignment horizontal="center" vertical="center" wrapText="1"/>
    </xf>
    <xf numFmtId="0" fontId="30" fillId="0" borderId="3" xfId="0" applyNumberFormat="1" applyFont="1" applyFill="1" applyBorder="1" applyAlignment="1">
      <alignment vertical="center"/>
    </xf>
    <xf numFmtId="0" fontId="33" fillId="0" borderId="3" xfId="0" applyNumberFormat="1" applyFont="1" applyFill="1" applyBorder="1" applyAlignment="1">
      <alignment horizontal="left" vertical="center" wrapText="1"/>
    </xf>
    <xf numFmtId="0" fontId="30" fillId="0" borderId="3" xfId="0" applyNumberFormat="1" applyFont="1" applyFill="1" applyBorder="1" applyAlignment="1">
      <alignment vertical="center" wrapText="1"/>
    </xf>
    <xf numFmtId="0" fontId="37" fillId="0" borderId="20"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0" fillId="2" borderId="13" xfId="0" applyFill="1" applyBorder="1" applyAlignment="1">
      <alignment horizontal="center" vertical="center" wrapText="1"/>
    </xf>
    <xf numFmtId="166" fontId="17" fillId="0" borderId="3" xfId="1" applyNumberFormat="1" applyFont="1" applyFill="1" applyBorder="1" applyAlignment="1">
      <alignment horizontal="right" vertical="center" wrapText="1"/>
    </xf>
    <xf numFmtId="4" fontId="19" fillId="0" borderId="3" xfId="1" applyNumberFormat="1" applyFont="1" applyFill="1" applyBorder="1" applyAlignment="1">
      <alignment horizontal="right" vertical="center" wrapText="1"/>
    </xf>
    <xf numFmtId="166" fontId="19" fillId="0" borderId="3" xfId="1" applyNumberFormat="1" applyFont="1" applyFill="1" applyBorder="1" applyAlignment="1">
      <alignment horizontal="right" vertical="center" wrapText="1"/>
    </xf>
    <xf numFmtId="3" fontId="19" fillId="0" borderId="3" xfId="0" applyNumberFormat="1" applyFont="1" applyFill="1" applyBorder="1" applyAlignment="1">
      <alignment horizontal="right" vertical="center" wrapText="1"/>
    </xf>
    <xf numFmtId="4" fontId="17" fillId="0" borderId="3" xfId="0" applyNumberFormat="1" applyFont="1" applyFill="1" applyBorder="1" applyAlignment="1">
      <alignment horizontal="right" vertical="center" wrapText="1"/>
    </xf>
    <xf numFmtId="3" fontId="17" fillId="0" borderId="3" xfId="0" applyNumberFormat="1" applyFont="1" applyFill="1" applyBorder="1" applyAlignment="1">
      <alignment horizontal="right" vertical="center" wrapText="1"/>
    </xf>
    <xf numFmtId="4" fontId="17" fillId="0" borderId="5" xfId="0" applyNumberFormat="1" applyFont="1" applyFill="1" applyBorder="1" applyAlignment="1">
      <alignment horizontal="right" vertical="center" wrapText="1"/>
    </xf>
    <xf numFmtId="3" fontId="14" fillId="0" borderId="3" xfId="0" applyNumberFormat="1" applyFont="1" applyFill="1" applyBorder="1" applyAlignment="1">
      <alignment horizontal="right" vertical="center" wrapText="1"/>
    </xf>
    <xf numFmtId="0" fontId="14" fillId="0" borderId="3" xfId="0" applyNumberFormat="1" applyFont="1" applyFill="1" applyBorder="1" applyAlignment="1">
      <alignment horizontal="right" vertical="center" wrapText="1"/>
    </xf>
    <xf numFmtId="4" fontId="17" fillId="0" borderId="7" xfId="0" applyNumberFormat="1" applyFont="1" applyFill="1" applyBorder="1" applyAlignment="1">
      <alignment horizontal="right" vertical="center" wrapText="1"/>
    </xf>
    <xf numFmtId="166" fontId="19" fillId="0" borderId="6" xfId="1" applyNumberFormat="1" applyFont="1" applyFill="1" applyBorder="1" applyAlignment="1">
      <alignment horizontal="right" vertical="center" wrapText="1"/>
    </xf>
    <xf numFmtId="4" fontId="19" fillId="0" borderId="6" xfId="1" applyNumberFormat="1" applyFont="1" applyFill="1" applyBorder="1" applyAlignment="1">
      <alignment horizontal="right" vertical="center" wrapText="1"/>
    </xf>
    <xf numFmtId="14" fontId="21" fillId="0" borderId="3" xfId="0" applyNumberFormat="1" applyFont="1" applyFill="1" applyBorder="1" applyAlignment="1">
      <alignment horizontal="right" vertical="center" wrapText="1"/>
    </xf>
    <xf numFmtId="4" fontId="14" fillId="0" borderId="3" xfId="0" applyNumberFormat="1" applyFont="1" applyFill="1" applyBorder="1" applyAlignment="1">
      <alignment horizontal="right" vertical="center" wrapText="1"/>
    </xf>
    <xf numFmtId="4" fontId="19" fillId="0" borderId="3" xfId="0" applyNumberFormat="1" applyFont="1" applyFill="1" applyBorder="1" applyAlignment="1">
      <alignment horizontal="right" vertical="center" wrapText="1"/>
    </xf>
    <xf numFmtId="166" fontId="17" fillId="0" borderId="9" xfId="1" applyNumberFormat="1" applyFont="1" applyFill="1" applyBorder="1" applyAlignment="1">
      <alignment horizontal="right" vertical="center" wrapText="1"/>
    </xf>
    <xf numFmtId="14" fontId="20" fillId="0" borderId="3" xfId="0" applyNumberFormat="1" applyFont="1" applyFill="1" applyBorder="1" applyAlignment="1">
      <alignment horizontal="right" vertical="center"/>
    </xf>
    <xf numFmtId="49" fontId="20" fillId="0" borderId="3" xfId="0" applyNumberFormat="1" applyFont="1" applyFill="1" applyBorder="1" applyAlignment="1">
      <alignment horizontal="right" vertical="center" wrapText="1"/>
    </xf>
    <xf numFmtId="14" fontId="22" fillId="0" borderId="3" xfId="0" applyNumberFormat="1" applyFont="1" applyFill="1" applyBorder="1" applyAlignment="1">
      <alignment horizontal="right" vertical="center" wrapText="1"/>
    </xf>
    <xf numFmtId="4" fontId="17" fillId="0" borderId="11" xfId="0" applyNumberFormat="1" applyFont="1" applyFill="1" applyBorder="1" applyAlignment="1">
      <alignment horizontal="right" vertical="center" wrapText="1"/>
    </xf>
    <xf numFmtId="0" fontId="20" fillId="0" borderId="3" xfId="0" applyNumberFormat="1" applyFont="1" applyFill="1" applyBorder="1" applyAlignment="1">
      <alignment horizontal="right" vertical="center" wrapText="1"/>
    </xf>
    <xf numFmtId="4" fontId="17" fillId="0" borderId="6" xfId="0" applyNumberFormat="1" applyFont="1" applyFill="1" applyBorder="1" applyAlignment="1">
      <alignment horizontal="right" vertical="center" wrapText="1"/>
    </xf>
    <xf numFmtId="4" fontId="17" fillId="0" borderId="10" xfId="0" applyNumberFormat="1" applyFont="1" applyFill="1" applyBorder="1" applyAlignment="1">
      <alignment horizontal="right" vertical="center" wrapText="1"/>
    </xf>
    <xf numFmtId="14" fontId="38" fillId="0" borderId="3" xfId="0" applyNumberFormat="1" applyFont="1" applyFill="1" applyBorder="1" applyAlignment="1">
      <alignment horizontal="right" vertical="center" wrapText="1"/>
    </xf>
    <xf numFmtId="4" fontId="39" fillId="0" borderId="3" xfId="1" applyNumberFormat="1" applyFont="1" applyFill="1" applyBorder="1" applyAlignment="1">
      <alignment horizontal="right" vertical="center" wrapText="1"/>
    </xf>
    <xf numFmtId="0" fontId="0" fillId="0" borderId="3" xfId="0" applyFont="1" applyFill="1" applyBorder="1" applyAlignment="1">
      <alignment horizontal="center" vertical="center" wrapText="1"/>
    </xf>
    <xf numFmtId="0" fontId="29" fillId="0" borderId="3" xfId="0" applyFont="1" applyFill="1" applyBorder="1" applyAlignment="1">
      <alignment vertical="top" wrapText="1"/>
    </xf>
    <xf numFmtId="0" fontId="42" fillId="0" borderId="3" xfId="0" applyNumberFormat="1" applyFont="1" applyFill="1" applyBorder="1" applyAlignment="1">
      <alignment vertical="center"/>
    </xf>
    <xf numFmtId="14" fontId="20" fillId="0" borderId="3" xfId="0" applyNumberFormat="1" applyFont="1" applyFill="1" applyBorder="1" applyAlignment="1">
      <alignment horizontal="center" vertical="center" wrapText="1"/>
    </xf>
    <xf numFmtId="0" fontId="42" fillId="0" borderId="3" xfId="0" applyNumberFormat="1" applyFont="1" applyFill="1" applyBorder="1" applyAlignment="1">
      <alignment vertical="center" wrapText="1"/>
    </xf>
    <xf numFmtId="0" fontId="14" fillId="0" borderId="2" xfId="0" applyNumberFormat="1" applyFont="1" applyFill="1" applyBorder="1" applyAlignment="1">
      <alignment horizontal="center" vertical="center" wrapText="1"/>
    </xf>
    <xf numFmtId="0" fontId="30" fillId="0" borderId="15" xfId="0" applyNumberFormat="1" applyFont="1" applyFill="1" applyBorder="1" applyAlignment="1">
      <alignment vertical="center" wrapText="1"/>
    </xf>
    <xf numFmtId="0" fontId="17" fillId="0" borderId="3" xfId="4" applyNumberFormat="1" applyFont="1" applyFill="1" applyBorder="1" applyAlignment="1">
      <alignment horizontal="center" vertical="center" wrapText="1"/>
    </xf>
    <xf numFmtId="165" fontId="17" fillId="0" borderId="3" xfId="4" applyNumberFormat="1" applyFont="1" applyFill="1" applyBorder="1" applyAlignment="1">
      <alignment horizontal="center" vertical="center" wrapText="1"/>
    </xf>
    <xf numFmtId="0" fontId="19" fillId="0" borderId="3" xfId="4" applyNumberFormat="1" applyFont="1" applyFill="1" applyBorder="1" applyAlignment="1">
      <alignment horizontal="justify" vertical="top" wrapText="1"/>
    </xf>
    <xf numFmtId="0" fontId="33" fillId="0" borderId="3" xfId="4" applyNumberFormat="1" applyFont="1" applyFill="1" applyBorder="1" applyAlignment="1">
      <alignment horizontal="left" vertical="center" wrapText="1"/>
    </xf>
    <xf numFmtId="0" fontId="30" fillId="0" borderId="15" xfId="4" applyNumberFormat="1" applyFont="1" applyFill="1" applyBorder="1" applyAlignment="1">
      <alignment vertical="center" wrapText="1"/>
    </xf>
    <xf numFmtId="166" fontId="21" fillId="0" borderId="3" xfId="0" applyNumberFormat="1" applyFont="1" applyFill="1" applyBorder="1" applyAlignment="1">
      <alignment horizontal="center" vertical="center" wrapText="1"/>
    </xf>
    <xf numFmtId="0" fontId="29" fillId="0" borderId="15" xfId="0" applyNumberFormat="1" applyFont="1" applyFill="1" applyBorder="1" applyAlignment="1">
      <alignment vertical="center" wrapText="1"/>
    </xf>
    <xf numFmtId="0" fontId="44" fillId="0" borderId="3" xfId="0" applyNumberFormat="1" applyFont="1" applyFill="1" applyBorder="1" applyAlignment="1">
      <alignment horizontal="left" vertical="center" wrapText="1"/>
    </xf>
    <xf numFmtId="14" fontId="19" fillId="0" borderId="3" xfId="0" applyNumberFormat="1" applyFont="1" applyFill="1" applyBorder="1" applyAlignment="1">
      <alignment horizontal="right" vertical="center" wrapText="1"/>
    </xf>
    <xf numFmtId="0" fontId="0" fillId="0" borderId="19" xfId="0" applyFont="1" applyFill="1" applyBorder="1" applyAlignment="1">
      <alignment vertical="center"/>
    </xf>
    <xf numFmtId="0" fontId="17" fillId="0" borderId="15" xfId="0" applyNumberFormat="1" applyFont="1" applyFill="1" applyBorder="1" applyAlignment="1">
      <alignment horizontal="center" vertical="center" wrapText="1"/>
    </xf>
    <xf numFmtId="0" fontId="19" fillId="0" borderId="15" xfId="0" applyNumberFormat="1" applyFont="1" applyFill="1" applyBorder="1" applyAlignment="1">
      <alignment horizontal="left" vertical="center" wrapText="1"/>
    </xf>
    <xf numFmtId="0" fontId="42" fillId="0" borderId="15" xfId="0" applyNumberFormat="1" applyFont="1" applyFill="1" applyBorder="1" applyAlignment="1">
      <alignment vertical="center" wrapText="1"/>
    </xf>
    <xf numFmtId="0" fontId="21" fillId="0" borderId="15" xfId="0" applyNumberFormat="1" applyFont="1" applyFill="1" applyBorder="1" applyAlignment="1">
      <alignment vertical="center" wrapText="1"/>
    </xf>
    <xf numFmtId="0" fontId="33" fillId="0" borderId="15" xfId="0" applyNumberFormat="1" applyFont="1" applyFill="1" applyBorder="1" applyAlignment="1">
      <alignment vertical="center" wrapText="1"/>
    </xf>
    <xf numFmtId="14" fontId="20" fillId="0" borderId="3" xfId="0" applyNumberFormat="1" applyFont="1" applyFill="1" applyBorder="1" applyAlignment="1">
      <alignment horizontal="right" vertical="center" wrapText="1"/>
    </xf>
    <xf numFmtId="0" fontId="17" fillId="0" borderId="3" xfId="0" applyFont="1" applyFill="1" applyBorder="1" applyAlignment="1">
      <alignment horizontal="justify" wrapText="1"/>
    </xf>
    <xf numFmtId="0" fontId="19" fillId="0" borderId="3" xfId="0" applyNumberFormat="1" applyFont="1" applyFill="1" applyBorder="1" applyAlignment="1">
      <alignment horizontal="right" vertical="center" wrapText="1"/>
    </xf>
    <xf numFmtId="0" fontId="19" fillId="0" borderId="3" xfId="0" applyNumberFormat="1" applyFont="1" applyFill="1" applyBorder="1" applyAlignment="1">
      <alignment horizontal="left" vertical="top" wrapText="1"/>
    </xf>
    <xf numFmtId="4" fontId="19" fillId="0" borderId="1" xfId="0" applyNumberFormat="1" applyFont="1" applyFill="1" applyBorder="1" applyAlignment="1">
      <alignment vertical="center" wrapText="1"/>
    </xf>
    <xf numFmtId="4" fontId="19" fillId="0" borderId="5" xfId="0" applyNumberFormat="1" applyFont="1" applyFill="1" applyBorder="1" applyAlignment="1">
      <alignment horizontal="right" vertical="center" wrapText="1"/>
    </xf>
    <xf numFmtId="0" fontId="50" fillId="0" borderId="3" xfId="0" applyNumberFormat="1" applyFont="1" applyFill="1" applyBorder="1" applyAlignment="1">
      <alignment vertical="center" wrapText="1"/>
    </xf>
    <xf numFmtId="0" fontId="33" fillId="0" borderId="3" xfId="0" applyNumberFormat="1" applyFont="1" applyFill="1" applyBorder="1" applyAlignment="1">
      <alignment vertical="top" wrapText="1"/>
    </xf>
    <xf numFmtId="1" fontId="17" fillId="0" borderId="3"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17" fillId="0" borderId="15" xfId="0" applyNumberFormat="1" applyFont="1" applyFill="1" applyBorder="1" applyAlignment="1">
      <alignment horizontal="left" vertical="center" wrapText="1"/>
    </xf>
    <xf numFmtId="0" fontId="30" fillId="0" borderId="15" xfId="0" applyNumberFormat="1" applyFont="1" applyFill="1" applyBorder="1" applyAlignment="1">
      <alignment horizontal="center" vertical="center" wrapText="1"/>
    </xf>
    <xf numFmtId="0" fontId="33"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19" fillId="0" borderId="3" xfId="0" applyNumberFormat="1" applyFont="1" applyFill="1" applyBorder="1" applyAlignment="1">
      <alignment vertical="center" wrapText="1"/>
    </xf>
    <xf numFmtId="0" fontId="4" fillId="0" borderId="15" xfId="0" applyNumberFormat="1" applyFont="1" applyFill="1" applyBorder="1" applyAlignment="1">
      <alignment vertical="center" wrapText="1"/>
    </xf>
    <xf numFmtId="0" fontId="0" fillId="0" borderId="3" xfId="0" applyNumberFormat="1" applyFont="1" applyFill="1" applyBorder="1" applyAlignment="1">
      <alignment horizontal="left" vertical="center" wrapText="1"/>
    </xf>
    <xf numFmtId="4" fontId="17" fillId="0" borderId="3" xfId="1" applyNumberFormat="1" applyFont="1" applyFill="1" applyBorder="1" applyAlignment="1">
      <alignment horizontal="right" vertical="center" wrapText="1"/>
    </xf>
    <xf numFmtId="0" fontId="17" fillId="0" borderId="3" xfId="0" applyFont="1" applyFill="1" applyBorder="1" applyAlignment="1">
      <alignment horizontal="center" vertical="center" wrapText="1"/>
    </xf>
    <xf numFmtId="14" fontId="36" fillId="0" borderId="3" xfId="0" applyNumberFormat="1" applyFont="1" applyFill="1" applyBorder="1" applyAlignment="1">
      <alignment horizontal="right" vertical="center" wrapText="1"/>
    </xf>
    <xf numFmtId="0" fontId="17" fillId="0" borderId="3" xfId="0" applyFont="1" applyFill="1" applyBorder="1" applyAlignment="1">
      <alignment horizontal="justify" vertical="top" wrapText="1"/>
    </xf>
    <xf numFmtId="166" fontId="17" fillId="0" borderId="3" xfId="0" applyNumberFormat="1" applyFont="1" applyFill="1" applyBorder="1" applyAlignment="1">
      <alignment horizontal="right" vertical="center" wrapText="1"/>
    </xf>
    <xf numFmtId="0" fontId="52" fillId="0" borderId="15" xfId="0" applyNumberFormat="1" applyFont="1" applyFill="1" applyBorder="1" applyAlignment="1">
      <alignment horizontal="center" vertical="center" wrapText="1"/>
    </xf>
    <xf numFmtId="0" fontId="19" fillId="0" borderId="5" xfId="0" applyNumberFormat="1" applyFont="1" applyFill="1" applyBorder="1" applyAlignment="1">
      <alignment horizontal="left" vertical="center" wrapText="1"/>
    </xf>
    <xf numFmtId="4" fontId="19" fillId="0" borderId="3" xfId="0" applyNumberFormat="1" applyFont="1" applyFill="1" applyBorder="1" applyAlignment="1">
      <alignment horizontal="center" vertical="center" wrapText="1"/>
    </xf>
    <xf numFmtId="4" fontId="14" fillId="0" borderId="5" xfId="0" applyNumberFormat="1" applyFont="1" applyFill="1" applyBorder="1" applyAlignment="1">
      <alignment horizontal="right" vertical="center" wrapText="1"/>
    </xf>
    <xf numFmtId="0" fontId="24" fillId="0" borderId="3" xfId="0" applyNumberFormat="1" applyFont="1" applyFill="1" applyBorder="1" applyAlignment="1">
      <alignment horizontal="center" vertical="center" wrapText="1"/>
    </xf>
    <xf numFmtId="0" fontId="42" fillId="0" borderId="15"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3" fontId="14" fillId="0" borderId="3" xfId="1" applyNumberFormat="1" applyFont="1" applyFill="1" applyBorder="1" applyAlignment="1">
      <alignment horizontal="right" vertical="center" wrapText="1"/>
    </xf>
    <xf numFmtId="166" fontId="17" fillId="0" borderId="6" xfId="1" applyNumberFormat="1" applyFont="1" applyFill="1" applyBorder="1" applyAlignment="1">
      <alignment horizontal="right" vertical="center" wrapText="1"/>
    </xf>
    <xf numFmtId="4" fontId="19" fillId="0" borderId="3" xfId="0" applyNumberFormat="1" applyFont="1" applyFill="1" applyBorder="1" applyAlignment="1">
      <alignment horizontal="left" vertical="top" wrapText="1"/>
    </xf>
    <xf numFmtId="14" fontId="17" fillId="0" borderId="3" xfId="0" applyNumberFormat="1" applyFont="1" applyFill="1" applyBorder="1" applyAlignment="1">
      <alignment horizontal="center" vertical="center" wrapText="1"/>
    </xf>
    <xf numFmtId="167" fontId="14" fillId="0" borderId="3" xfId="0" applyNumberFormat="1" applyFont="1" applyFill="1" applyBorder="1" applyAlignment="1">
      <alignment horizontal="center" vertical="center" wrapText="1"/>
    </xf>
    <xf numFmtId="3" fontId="19" fillId="0" borderId="3" xfId="0" applyNumberFormat="1" applyFont="1" applyFill="1" applyBorder="1" applyAlignment="1">
      <alignment horizontal="center" vertical="center" wrapText="1"/>
    </xf>
    <xf numFmtId="0" fontId="54" fillId="0" borderId="3" xfId="0" applyNumberFormat="1" applyFont="1" applyFill="1" applyBorder="1" applyAlignment="1">
      <alignment horizontal="left" vertical="center" wrapText="1"/>
    </xf>
    <xf numFmtId="14" fontId="17" fillId="0" borderId="2" xfId="0" applyNumberFormat="1"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4" fontId="14" fillId="0" borderId="3" xfId="0" applyNumberFormat="1" applyFont="1" applyFill="1" applyBorder="1" applyAlignment="1">
      <alignment vertical="center" wrapText="1"/>
    </xf>
    <xf numFmtId="3" fontId="14" fillId="0" borderId="3" xfId="0" applyNumberFormat="1" applyFont="1" applyFill="1" applyBorder="1" applyAlignment="1">
      <alignment vertical="center" wrapText="1"/>
    </xf>
    <xf numFmtId="0" fontId="14" fillId="0" borderId="3" xfId="0" applyNumberFormat="1" applyFont="1" applyFill="1" applyBorder="1" applyAlignment="1">
      <alignment horizontal="center" vertical="center" wrapText="1"/>
    </xf>
    <xf numFmtId="4" fontId="14" fillId="0" borderId="1" xfId="0" applyNumberFormat="1" applyFont="1" applyFill="1" applyBorder="1" applyAlignment="1">
      <alignment vertical="center" wrapText="1"/>
    </xf>
    <xf numFmtId="4" fontId="14" fillId="2" borderId="3" xfId="0" applyNumberFormat="1" applyFont="1" applyFill="1" applyBorder="1" applyAlignment="1">
      <alignment vertical="center" wrapText="1"/>
    </xf>
    <xf numFmtId="4" fontId="14" fillId="3" borderId="3" xfId="0" applyNumberFormat="1" applyFont="1" applyFill="1" applyBorder="1" applyAlignment="1">
      <alignment vertical="center" wrapText="1"/>
    </xf>
    <xf numFmtId="0" fontId="14" fillId="0" borderId="3" xfId="0" applyNumberFormat="1" applyFont="1" applyFill="1" applyBorder="1" applyAlignment="1">
      <alignment horizontal="left" vertical="center" wrapText="1"/>
    </xf>
    <xf numFmtId="0" fontId="14" fillId="0" borderId="3" xfId="0" applyNumberFormat="1" applyFont="1" applyFill="1" applyBorder="1" applyAlignment="1">
      <alignment vertical="center" wrapText="1"/>
    </xf>
    <xf numFmtId="0" fontId="23" fillId="0" borderId="3" xfId="0" applyNumberFormat="1" applyFont="1" applyFill="1" applyBorder="1" applyAlignment="1">
      <alignment horizontal="center" vertical="center" wrapText="1"/>
    </xf>
    <xf numFmtId="0" fontId="18" fillId="0" borderId="3" xfId="0" applyFont="1" applyFill="1" applyBorder="1" applyAlignment="1">
      <alignment vertical="center" wrapText="1"/>
    </xf>
    <xf numFmtId="4" fontId="21" fillId="0" borderId="0" xfId="0" applyNumberFormat="1" applyFont="1" applyFill="1" applyAlignment="1">
      <alignment horizontal="right" vertical="center" wrapText="1"/>
    </xf>
    <xf numFmtId="0" fontId="33" fillId="0" borderId="3" xfId="0" applyFont="1" applyFill="1" applyBorder="1" applyAlignment="1">
      <alignment horizontal="left" vertical="center" wrapText="1"/>
    </xf>
    <xf numFmtId="0" fontId="33" fillId="0" borderId="3" xfId="0" applyFont="1" applyFill="1" applyBorder="1" applyAlignment="1">
      <alignment horizontal="justify" vertical="top" wrapText="1"/>
    </xf>
    <xf numFmtId="0" fontId="19" fillId="0" borderId="15" xfId="0" applyNumberFormat="1" applyFont="1" applyFill="1" applyBorder="1" applyAlignment="1">
      <alignment horizontal="center" vertical="center" wrapText="1"/>
    </xf>
    <xf numFmtId="0" fontId="17" fillId="0" borderId="3" xfId="0" applyNumberFormat="1" applyFont="1" applyFill="1" applyBorder="1" applyAlignment="1">
      <alignment horizontal="right" vertical="center" wrapText="1"/>
    </xf>
    <xf numFmtId="0" fontId="18" fillId="0" borderId="0" xfId="0" applyFont="1" applyFill="1" applyAlignment="1">
      <alignment wrapText="1"/>
    </xf>
    <xf numFmtId="0" fontId="6" fillId="0" borderId="0" xfId="0" applyFont="1" applyFill="1"/>
    <xf numFmtId="4" fontId="48" fillId="0" borderId="0" xfId="0" applyNumberFormat="1" applyFont="1" applyFill="1" applyAlignment="1">
      <alignment horizontal="center" vertical="center" wrapText="1"/>
    </xf>
    <xf numFmtId="166" fontId="17" fillId="0" borderId="0" xfId="0" applyNumberFormat="1" applyFont="1" applyFill="1"/>
    <xf numFmtId="0" fontId="21" fillId="0" borderId="3" xfId="0" applyFont="1" applyFill="1" applyBorder="1" applyAlignment="1">
      <alignment horizontal="left" vertical="center" wrapText="1"/>
    </xf>
    <xf numFmtId="4" fontId="21" fillId="0" borderId="3" xfId="0" applyNumberFormat="1" applyFont="1" applyFill="1" applyBorder="1" applyAlignment="1">
      <alignment horizontal="right" vertical="center" wrapText="1"/>
    </xf>
    <xf numFmtId="0" fontId="21" fillId="0" borderId="0" xfId="0" applyFont="1" applyFill="1" applyAlignment="1">
      <alignment horizontal="left" vertical="center" wrapText="1"/>
    </xf>
    <xf numFmtId="0" fontId="21" fillId="0" borderId="0" xfId="0" applyFont="1" applyFill="1" applyAlignment="1">
      <alignment horizontal="left" vertical="center"/>
    </xf>
    <xf numFmtId="0" fontId="30" fillId="0" borderId="3" xfId="0" applyNumberFormat="1" applyFont="1" applyFill="1" applyBorder="1" applyAlignment="1">
      <alignment horizontal="center" vertical="center" wrapText="1"/>
    </xf>
    <xf numFmtId="4" fontId="18" fillId="0" borderId="3" xfId="1" applyNumberFormat="1" applyFont="1" applyFill="1" applyBorder="1" applyAlignment="1">
      <alignment horizontal="right" vertical="center" wrapText="1"/>
    </xf>
    <xf numFmtId="0" fontId="21" fillId="0" borderId="3" xfId="0" applyFont="1" applyFill="1" applyBorder="1" applyAlignment="1">
      <alignment vertical="center" wrapText="1"/>
    </xf>
    <xf numFmtId="0" fontId="3" fillId="0" borderId="0" xfId="0" applyFont="1" applyFill="1"/>
    <xf numFmtId="0" fontId="21" fillId="0" borderId="0" xfId="0" applyFont="1" applyFill="1" applyAlignment="1">
      <alignment vertical="center" wrapText="1"/>
    </xf>
    <xf numFmtId="0" fontId="30" fillId="0" borderId="0" xfId="0" applyFont="1" applyFill="1" applyAlignment="1">
      <alignment vertical="center" wrapText="1"/>
    </xf>
    <xf numFmtId="0" fontId="17" fillId="0" borderId="3" xfId="0" applyNumberFormat="1" applyFont="1" applyFill="1" applyBorder="1" applyAlignment="1">
      <alignment vertical="center" wrapText="1"/>
    </xf>
    <xf numFmtId="0" fontId="0" fillId="0" borderId="3" xfId="0" applyFill="1" applyBorder="1" applyAlignment="1">
      <alignment horizontal="center" vertical="center" wrapText="1"/>
    </xf>
    <xf numFmtId="0" fontId="39" fillId="0" borderId="3" xfId="0" applyNumberFormat="1" applyFont="1" applyFill="1" applyBorder="1" applyAlignment="1">
      <alignment horizontal="right" vertical="center" wrapText="1"/>
    </xf>
    <xf numFmtId="4" fontId="40" fillId="0" borderId="0" xfId="0" applyNumberFormat="1" applyFont="1" applyFill="1" applyAlignment="1">
      <alignment vertical="center" wrapText="1"/>
    </xf>
    <xf numFmtId="4" fontId="39" fillId="0" borderId="3" xfId="0" applyNumberFormat="1" applyFont="1" applyFill="1" applyBorder="1" applyAlignment="1">
      <alignment horizontal="right" vertical="center" wrapText="1"/>
    </xf>
    <xf numFmtId="0" fontId="23" fillId="0" borderId="15" xfId="0" applyNumberFormat="1" applyFont="1" applyFill="1" applyBorder="1" applyAlignment="1">
      <alignment horizontal="center" vertical="center" wrapText="1"/>
    </xf>
    <xf numFmtId="0" fontId="0" fillId="0" borderId="3" xfId="0" applyFill="1" applyBorder="1" applyAlignment="1">
      <alignment horizontal="left" vertical="center" wrapText="1"/>
    </xf>
    <xf numFmtId="14" fontId="0" fillId="0" borderId="3" xfId="0" applyNumberFormat="1" applyFill="1" applyBorder="1" applyAlignment="1">
      <alignment horizontal="center" vertical="center"/>
    </xf>
    <xf numFmtId="0" fontId="0" fillId="0" borderId="3" xfId="0" applyFill="1" applyBorder="1" applyAlignment="1">
      <alignment horizontal="center" vertical="center"/>
    </xf>
    <xf numFmtId="0" fontId="30" fillId="0" borderId="3" xfId="0" applyFont="1" applyFill="1" applyBorder="1" applyAlignment="1">
      <alignment vertical="center" wrapText="1"/>
    </xf>
    <xf numFmtId="164" fontId="19" fillId="0" borderId="3" xfId="0" applyNumberFormat="1" applyFont="1" applyFill="1" applyBorder="1" applyAlignment="1">
      <alignment horizontal="center" vertical="center" wrapText="1"/>
    </xf>
    <xf numFmtId="164" fontId="18" fillId="0" borderId="3" xfId="0" applyNumberFormat="1" applyFont="1" applyFill="1" applyBorder="1" applyAlignment="1">
      <alignment horizontal="center" vertical="center" wrapText="1"/>
    </xf>
    <xf numFmtId="4" fontId="17" fillId="0" borderId="3" xfId="0" applyNumberFormat="1" applyFont="1" applyFill="1" applyBorder="1"/>
    <xf numFmtId="4" fontId="17" fillId="0" borderId="3" xfId="0" applyNumberFormat="1" applyFont="1" applyFill="1" applyBorder="1" applyAlignment="1">
      <alignment horizontal="center" vertical="center"/>
    </xf>
    <xf numFmtId="0" fontId="31" fillId="0" borderId="0" xfId="0" applyFont="1" applyFill="1" applyAlignment="1">
      <alignment horizontal="center" vertical="center" wrapText="1"/>
    </xf>
    <xf numFmtId="0" fontId="36" fillId="0" borderId="3" xfId="0" applyFont="1" applyFill="1" applyBorder="1" applyAlignment="1">
      <alignment horizontal="left" vertical="center" wrapText="1"/>
    </xf>
    <xf numFmtId="4" fontId="19" fillId="0" borderId="15" xfId="1" applyNumberFormat="1" applyFont="1" applyFill="1" applyBorder="1" applyAlignment="1">
      <alignment horizontal="right" vertical="center" wrapText="1"/>
    </xf>
    <xf numFmtId="0" fontId="21" fillId="0" borderId="0" xfId="0" applyFont="1" applyFill="1"/>
    <xf numFmtId="0" fontId="10" fillId="0" borderId="3" xfId="0" applyFont="1" applyFill="1" applyBorder="1" applyAlignment="1">
      <alignment vertical="center" wrapText="1"/>
    </xf>
    <xf numFmtId="0" fontId="19" fillId="0" borderId="25" xfId="0" applyNumberFormat="1" applyFont="1" applyFill="1" applyBorder="1" applyAlignment="1">
      <alignment horizontal="center" vertical="center" wrapText="1"/>
    </xf>
    <xf numFmtId="0" fontId="19" fillId="0" borderId="5" xfId="0" applyNumberFormat="1"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xf numFmtId="0" fontId="6" fillId="0" borderId="3" xfId="0" applyFont="1" applyFill="1" applyBorder="1" applyAlignment="1">
      <alignment vertical="center" wrapText="1"/>
    </xf>
    <xf numFmtId="4" fontId="18" fillId="0" borderId="3" xfId="0" applyNumberFormat="1" applyFont="1" applyFill="1" applyBorder="1" applyAlignment="1">
      <alignment horizontal="right" vertical="center" wrapText="1"/>
    </xf>
    <xf numFmtId="3" fontId="19" fillId="0" borderId="15" xfId="0" applyNumberFormat="1" applyFont="1" applyFill="1" applyBorder="1" applyAlignment="1">
      <alignment horizontal="center" vertical="center" wrapText="1"/>
    </xf>
    <xf numFmtId="4" fontId="19" fillId="0" borderId="15" xfId="0" applyNumberFormat="1" applyFont="1" applyFill="1" applyBorder="1" applyAlignment="1">
      <alignment horizontal="center" vertical="center" wrapText="1"/>
    </xf>
    <xf numFmtId="4" fontId="19" fillId="0" borderId="3" xfId="0" applyNumberFormat="1" applyFont="1" applyFill="1" applyBorder="1" applyAlignment="1">
      <alignment horizontal="left" vertical="center" wrapText="1"/>
    </xf>
    <xf numFmtId="4" fontId="17" fillId="0" borderId="3" xfId="0" applyNumberFormat="1" applyFont="1" applyFill="1" applyBorder="1" applyAlignment="1">
      <alignment horizontal="left" vertical="center" wrapText="1"/>
    </xf>
    <xf numFmtId="4" fontId="14" fillId="0" borderId="3" xfId="0" applyNumberFormat="1" applyFont="1" applyFill="1" applyBorder="1" applyAlignment="1">
      <alignment horizontal="center" vertical="center" wrapText="1"/>
    </xf>
    <xf numFmtId="4" fontId="0" fillId="0" borderId="0" xfId="0" applyNumberFormat="1" applyFont="1" applyFill="1"/>
    <xf numFmtId="0" fontId="4" fillId="0" borderId="0" xfId="0" applyFont="1" applyFill="1"/>
    <xf numFmtId="4" fontId="17" fillId="0" borderId="3" xfId="0" applyNumberFormat="1" applyFont="1" applyFill="1" applyBorder="1" applyAlignment="1">
      <alignment vertical="center"/>
    </xf>
    <xf numFmtId="0" fontId="11" fillId="0" borderId="0" xfId="0" applyFont="1" applyFill="1" applyAlignment="1">
      <alignment horizontal="left" vertical="center" wrapText="1"/>
    </xf>
    <xf numFmtId="0" fontId="19" fillId="0" borderId="3" xfId="0" applyFont="1" applyFill="1" applyBorder="1" applyAlignment="1">
      <alignment horizontal="left" vertical="center" wrapText="1"/>
    </xf>
    <xf numFmtId="0" fontId="0" fillId="0" borderId="3" xfId="0" applyFont="1" applyFill="1" applyBorder="1" applyAlignment="1">
      <alignment horizontal="center" vertical="center"/>
    </xf>
    <xf numFmtId="166" fontId="17" fillId="0" borderId="15" xfId="1" applyNumberFormat="1" applyFont="1" applyFill="1" applyBorder="1" applyAlignment="1">
      <alignment horizontal="right" vertical="center" wrapText="1"/>
    </xf>
    <xf numFmtId="0" fontId="0" fillId="0" borderId="0" xfId="0" applyFont="1" applyFill="1" applyAlignment="1">
      <alignment horizontal="center" vertical="center"/>
    </xf>
    <xf numFmtId="0" fontId="28" fillId="0" borderId="3" xfId="0" applyFont="1" applyFill="1" applyBorder="1" applyAlignment="1">
      <alignment vertical="center" wrapText="1"/>
    </xf>
    <xf numFmtId="0" fontId="28" fillId="0" borderId="0" xfId="0" applyFont="1" applyFill="1" applyAlignment="1">
      <alignment horizontal="center" vertical="center" wrapText="1"/>
    </xf>
    <xf numFmtId="166" fontId="17" fillId="0" borderId="5" xfId="1" applyNumberFormat="1" applyFont="1" applyFill="1" applyBorder="1" applyAlignment="1">
      <alignment horizontal="right" vertical="center" wrapText="1"/>
    </xf>
    <xf numFmtId="166" fontId="19" fillId="0" borderId="3" xfId="0" applyNumberFormat="1" applyFont="1" applyFill="1" applyBorder="1" applyAlignment="1">
      <alignment horizontal="right" vertical="center" wrapText="1"/>
    </xf>
    <xf numFmtId="0" fontId="0" fillId="0" borderId="0" xfId="0" applyFont="1" applyFill="1" applyAlignment="1">
      <alignment wrapText="1"/>
    </xf>
    <xf numFmtId="0" fontId="0" fillId="0" borderId="3" xfId="0" applyFont="1" applyFill="1" applyBorder="1" applyAlignment="1">
      <alignment vertical="center" wrapText="1"/>
    </xf>
    <xf numFmtId="4" fontId="22" fillId="0" borderId="25" xfId="0" applyNumberFormat="1" applyFont="1" applyFill="1" applyBorder="1" applyAlignment="1">
      <alignment horizontal="right" vertical="center" wrapText="1"/>
    </xf>
    <xf numFmtId="4" fontId="22" fillId="0" borderId="3" xfId="0" applyNumberFormat="1" applyFont="1" applyFill="1" applyBorder="1" applyAlignment="1">
      <alignment horizontal="right" vertical="center" wrapText="1"/>
    </xf>
    <xf numFmtId="4" fontId="22" fillId="0" borderId="0" xfId="0" applyNumberFormat="1" applyFont="1" applyFill="1" applyAlignment="1">
      <alignment horizontal="right" vertical="center" wrapText="1"/>
    </xf>
    <xf numFmtId="4" fontId="22" fillId="0" borderId="26" xfId="0" applyNumberFormat="1" applyFont="1" applyFill="1" applyBorder="1" applyAlignment="1">
      <alignment horizontal="right" vertical="center" wrapText="1"/>
    </xf>
    <xf numFmtId="4" fontId="55" fillId="0" borderId="0" xfId="0" applyNumberFormat="1" applyFont="1" applyFill="1" applyBorder="1" applyAlignment="1">
      <alignment horizontal="right" vertical="center" wrapText="1"/>
    </xf>
    <xf numFmtId="4" fontId="55" fillId="0" borderId="3" xfId="0" applyNumberFormat="1" applyFont="1" applyFill="1" applyBorder="1" applyAlignment="1">
      <alignment horizontal="right" vertical="center" wrapText="1"/>
    </xf>
    <xf numFmtId="0" fontId="0" fillId="0" borderId="0" xfId="0" applyFont="1" applyFill="1" applyAlignment="1">
      <alignment vertical="center" wrapText="1"/>
    </xf>
    <xf numFmtId="0" fontId="22" fillId="0" borderId="0" xfId="0" applyFont="1" applyFill="1" applyAlignment="1">
      <alignment horizontal="right" vertical="center" wrapText="1"/>
    </xf>
    <xf numFmtId="0" fontId="12" fillId="0" borderId="0" xfId="0" applyFont="1" applyFill="1" applyAlignment="1">
      <alignment vertical="center" wrapText="1"/>
    </xf>
    <xf numFmtId="0" fontId="19" fillId="0" borderId="3" xfId="0" applyFont="1" applyFill="1" applyBorder="1" applyAlignment="1">
      <alignment vertical="center" wrapText="1"/>
    </xf>
    <xf numFmtId="0" fontId="19" fillId="0" borderId="3" xfId="0" applyFont="1" applyFill="1" applyBorder="1" applyAlignment="1">
      <alignment horizontal="center" vertical="center" wrapText="1"/>
    </xf>
    <xf numFmtId="0" fontId="19" fillId="0" borderId="0" xfId="0" applyFont="1" applyFill="1" applyAlignment="1">
      <alignment horizontal="left" vertical="center"/>
    </xf>
    <xf numFmtId="2" fontId="19" fillId="0" borderId="3" xfId="0" applyNumberFormat="1" applyFont="1" applyFill="1" applyBorder="1" applyAlignment="1">
      <alignment horizontal="right" vertical="center" wrapText="1"/>
    </xf>
    <xf numFmtId="0" fontId="7" fillId="0" borderId="0" xfId="0" applyFont="1" applyFill="1"/>
    <xf numFmtId="166" fontId="19" fillId="0" borderId="0" xfId="0" applyNumberFormat="1" applyFont="1" applyFill="1"/>
    <xf numFmtId="0" fontId="2" fillId="0" borderId="0" xfId="0" applyFont="1" applyFill="1"/>
    <xf numFmtId="0" fontId="51" fillId="0" borderId="0" xfId="0" applyFont="1" applyFill="1" applyAlignment="1">
      <alignment horizontal="center" vertical="center"/>
    </xf>
    <xf numFmtId="166" fontId="17" fillId="0" borderId="3" xfId="0" applyNumberFormat="1" applyFont="1" applyFill="1" applyBorder="1" applyAlignment="1">
      <alignment vertical="center"/>
    </xf>
    <xf numFmtId="0" fontId="36" fillId="0" borderId="3" xfId="0" applyFont="1" applyFill="1" applyBorder="1" applyAlignment="1">
      <alignment horizontal="center" vertical="center" wrapText="1"/>
    </xf>
    <xf numFmtId="4" fontId="18" fillId="0" borderId="3" xfId="0" applyNumberFormat="1" applyFont="1" applyFill="1" applyBorder="1" applyAlignment="1">
      <alignment vertical="center" wrapText="1"/>
    </xf>
    <xf numFmtId="0" fontId="0" fillId="0" borderId="0" xfId="0" applyFont="1" applyFill="1" applyAlignment="1">
      <alignment horizontal="center" vertical="center" wrapText="1"/>
    </xf>
    <xf numFmtId="4" fontId="28" fillId="0" borderId="0" xfId="0" applyNumberFormat="1" applyFont="1" applyFill="1" applyAlignment="1">
      <alignment horizontal="right" vertical="center" wrapText="1"/>
    </xf>
    <xf numFmtId="4" fontId="28" fillId="0" borderId="3" xfId="0" applyNumberFormat="1" applyFont="1" applyFill="1" applyBorder="1" applyAlignment="1">
      <alignment horizontal="right" vertical="center" wrapText="1"/>
    </xf>
    <xf numFmtId="166" fontId="17" fillId="0" borderId="4" xfId="0" applyNumberFormat="1" applyFont="1" applyFill="1" applyBorder="1" applyAlignment="1">
      <alignment horizontal="right" vertical="center" wrapText="1"/>
    </xf>
    <xf numFmtId="0" fontId="17" fillId="0" borderId="3" xfId="0" applyFont="1" applyFill="1" applyBorder="1" applyAlignment="1">
      <alignment horizontal="left" vertical="center" wrapText="1"/>
    </xf>
    <xf numFmtId="0" fontId="0" fillId="0" borderId="0" xfId="0" applyFill="1"/>
    <xf numFmtId="166" fontId="0" fillId="0" borderId="0" xfId="0" applyNumberFormat="1" applyFill="1"/>
    <xf numFmtId="0" fontId="18" fillId="0" borderId="3" xfId="0" applyFont="1" applyFill="1" applyBorder="1" applyAlignment="1">
      <alignment vertical="center"/>
    </xf>
    <xf numFmtId="0" fontId="15" fillId="0" borderId="0" xfId="0" applyFont="1" applyFill="1"/>
    <xf numFmtId="0" fontId="25"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8" fillId="0" borderId="0" xfId="0" applyFont="1" applyFill="1" applyBorder="1" applyAlignment="1">
      <alignment horizontal="justify" vertical="center"/>
    </xf>
    <xf numFmtId="0" fontId="33" fillId="0" borderId="3" xfId="0" applyFont="1" applyFill="1" applyBorder="1" applyAlignment="1">
      <alignment horizontal="center" vertical="center" wrapText="1"/>
    </xf>
    <xf numFmtId="0" fontId="0" fillId="0" borderId="3" xfId="0" applyFont="1" applyFill="1" applyBorder="1" applyAlignment="1">
      <alignment horizontal="right"/>
    </xf>
    <xf numFmtId="0" fontId="0" fillId="0" borderId="0" xfId="0" applyFont="1" applyFill="1" applyBorder="1" applyAlignment="1">
      <alignment horizontal="center" vertical="center" wrapText="1"/>
    </xf>
    <xf numFmtId="0" fontId="18" fillId="0" borderId="0" xfId="0" applyFont="1" applyFill="1" applyAlignment="1">
      <alignment horizontal="center" vertical="center"/>
    </xf>
    <xf numFmtId="0" fontId="18" fillId="0" borderId="0" xfId="0" applyFont="1" applyFill="1" applyAlignment="1">
      <alignment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0" fillId="0" borderId="19" xfId="0" applyFont="1" applyFill="1" applyBorder="1" applyAlignment="1">
      <alignment vertical="center" wrapText="1"/>
    </xf>
    <xf numFmtId="0" fontId="30" fillId="0" borderId="22" xfId="0" applyFont="1" applyFill="1" applyBorder="1" applyAlignment="1">
      <alignment vertical="center" wrapText="1"/>
    </xf>
    <xf numFmtId="4" fontId="41" fillId="0" borderId="3" xfId="0" applyNumberFormat="1" applyFont="1" applyFill="1" applyBorder="1" applyAlignment="1">
      <alignment horizontal="right" vertical="center"/>
    </xf>
    <xf numFmtId="4" fontId="41" fillId="0" borderId="3" xfId="0" applyNumberFormat="1" applyFont="1" applyFill="1" applyBorder="1" applyAlignment="1">
      <alignment horizontal="center" vertical="center"/>
    </xf>
    <xf numFmtId="4" fontId="41" fillId="0" borderId="0" xfId="0" applyNumberFormat="1" applyFont="1" applyFill="1" applyBorder="1" applyAlignment="1">
      <alignment horizontal="right" vertical="center"/>
    </xf>
    <xf numFmtId="0" fontId="0" fillId="0" borderId="3" xfId="0" applyFont="1" applyFill="1" applyBorder="1"/>
    <xf numFmtId="0" fontId="0" fillId="0" borderId="3" xfId="0" applyFont="1" applyFill="1" applyBorder="1" applyAlignment="1">
      <alignment wrapText="1"/>
    </xf>
    <xf numFmtId="14" fontId="0" fillId="0" borderId="3" xfId="0" applyNumberFormat="1" applyFont="1" applyFill="1" applyBorder="1" applyAlignment="1">
      <alignment horizontal="center"/>
    </xf>
    <xf numFmtId="0" fontId="42" fillId="0" borderId="3" xfId="0" applyFont="1" applyFill="1" applyBorder="1" applyAlignment="1">
      <alignment vertical="center" wrapText="1"/>
    </xf>
    <xf numFmtId="0" fontId="17" fillId="0" borderId="15" xfId="4" applyNumberFormat="1" applyFont="1" applyFill="1" applyBorder="1" applyAlignment="1">
      <alignment horizontal="center" vertical="center" wrapText="1"/>
    </xf>
    <xf numFmtId="0" fontId="23" fillId="0" borderId="15" xfId="4" applyNumberFormat="1" applyFont="1" applyFill="1" applyBorder="1" applyAlignment="1">
      <alignment horizontal="center" vertical="center" wrapText="1"/>
    </xf>
    <xf numFmtId="0" fontId="19" fillId="0" borderId="3" xfId="4" applyNumberFormat="1" applyFont="1" applyFill="1" applyBorder="1" applyAlignment="1">
      <alignment horizontal="center" vertical="center" wrapText="1"/>
    </xf>
    <xf numFmtId="0" fontId="18" fillId="0" borderId="3" xfId="4" applyFont="1" applyFill="1" applyBorder="1" applyAlignment="1">
      <alignment vertical="center" wrapText="1"/>
    </xf>
    <xf numFmtId="14" fontId="17" fillId="0" borderId="3" xfId="4" applyNumberFormat="1" applyFont="1" applyFill="1" applyBorder="1" applyAlignment="1">
      <alignment horizontal="center" vertical="center" wrapText="1"/>
    </xf>
    <xf numFmtId="0" fontId="21" fillId="0" borderId="3" xfId="4" applyFont="1" applyFill="1" applyBorder="1" applyAlignment="1">
      <alignment horizontal="center" vertical="center" wrapText="1"/>
    </xf>
    <xf numFmtId="0" fontId="13" fillId="0" borderId="0" xfId="0" applyFont="1" applyFill="1" applyAlignment="1">
      <alignment wrapText="1"/>
    </xf>
    <xf numFmtId="0" fontId="49" fillId="0" borderId="3" xfId="0" applyFont="1" applyFill="1" applyBorder="1" applyAlignment="1">
      <alignment horizontal="left" wrapText="1"/>
    </xf>
    <xf numFmtId="0" fontId="17" fillId="0" borderId="3" xfId="0" applyFont="1" applyFill="1" applyBorder="1" applyAlignment="1">
      <alignment horizontal="justify" vertical="center" wrapText="1"/>
    </xf>
    <xf numFmtId="0" fontId="17" fillId="0" borderId="15" xfId="0" applyFont="1" applyFill="1" applyBorder="1" applyAlignment="1">
      <alignment horizontal="center" vertical="center" wrapText="1"/>
    </xf>
    <xf numFmtId="0" fontId="18" fillId="0" borderId="15" xfId="0" applyFont="1" applyFill="1" applyBorder="1" applyAlignment="1">
      <alignment vertical="center" wrapText="1"/>
    </xf>
    <xf numFmtId="0" fontId="19" fillId="0" borderId="3" xfId="0" applyFont="1" applyFill="1" applyBorder="1" applyAlignment="1">
      <alignment horizontal="justify" wrapText="1"/>
    </xf>
    <xf numFmtId="0" fontId="6" fillId="0" borderId="0" xfId="0" applyFont="1" applyFill="1" applyAlignment="1">
      <alignment horizontal="left" vertical="center" wrapText="1"/>
    </xf>
    <xf numFmtId="0" fontId="28" fillId="0" borderId="3" xfId="0" applyFont="1" applyFill="1" applyBorder="1" applyAlignment="1">
      <alignment horizontal="left" vertical="center" wrapText="1"/>
    </xf>
    <xf numFmtId="0" fontId="5" fillId="0" borderId="3" xfId="0" applyFont="1" applyFill="1" applyBorder="1" applyAlignment="1">
      <alignment wrapText="1"/>
    </xf>
    <xf numFmtId="0" fontId="28" fillId="0" borderId="0" xfId="0" applyFont="1" applyFill="1" applyAlignment="1">
      <alignment wrapText="1"/>
    </xf>
    <xf numFmtId="0" fontId="51" fillId="0" borderId="0" xfId="0" applyFont="1" applyFill="1" applyAlignment="1">
      <alignment wrapText="1"/>
    </xf>
    <xf numFmtId="0" fontId="51" fillId="0" borderId="0" xfId="0" applyFont="1" applyFill="1"/>
    <xf numFmtId="0" fontId="51" fillId="0" borderId="0" xfId="0" applyFont="1" applyFill="1" applyAlignment="1">
      <alignment vertical="center" wrapText="1"/>
    </xf>
    <xf numFmtId="0" fontId="24" fillId="0" borderId="3" xfId="0" applyFont="1" applyFill="1" applyBorder="1" applyAlignment="1">
      <alignment horizontal="center" vertical="center"/>
    </xf>
    <xf numFmtId="0" fontId="0" fillId="0" borderId="3" xfId="0" applyFont="1" applyFill="1" applyBorder="1" applyAlignment="1">
      <alignment horizontal="left" vertical="top" wrapText="1"/>
    </xf>
    <xf numFmtId="14" fontId="0" fillId="0" borderId="3" xfId="0" applyNumberFormat="1" applyFont="1" applyFill="1" applyBorder="1" applyAlignment="1">
      <alignment horizontal="center" vertical="center"/>
    </xf>
    <xf numFmtId="0" fontId="19" fillId="0" borderId="3" xfId="0" applyFont="1" applyFill="1" applyBorder="1" applyAlignment="1">
      <alignment horizontal="justify" vertical="top" wrapText="1"/>
    </xf>
    <xf numFmtId="0" fontId="17" fillId="0" borderId="3" xfId="0" applyFont="1" applyFill="1" applyBorder="1" applyAlignment="1">
      <alignment horizontal="left" vertical="top" wrapText="1"/>
    </xf>
    <xf numFmtId="0" fontId="24" fillId="0" borderId="0" xfId="0" applyFont="1" applyFill="1"/>
    <xf numFmtId="0" fontId="0" fillId="0" borderId="0" xfId="0" applyFont="1" applyFill="1" applyAlignment="1">
      <alignment horizontal="left"/>
    </xf>
    <xf numFmtId="166" fontId="0" fillId="0" borderId="0" xfId="0" applyNumberFormat="1" applyFont="1" applyFill="1" applyAlignment="1"/>
    <xf numFmtId="4" fontId="14" fillId="2" borderId="1" xfId="0" applyNumberFormat="1" applyFont="1" applyFill="1" applyBorder="1" applyAlignment="1">
      <alignment vertical="center" wrapText="1"/>
    </xf>
    <xf numFmtId="0" fontId="14" fillId="3" borderId="6" xfId="0" applyNumberFormat="1" applyFont="1" applyFill="1" applyBorder="1" applyAlignment="1">
      <alignment horizontal="center" vertical="center" wrapText="1"/>
    </xf>
    <xf numFmtId="0" fontId="0" fillId="3" borderId="19" xfId="0" applyFill="1" applyBorder="1" applyAlignment="1">
      <alignment horizontal="center" vertical="center" wrapText="1"/>
    </xf>
    <xf numFmtId="0" fontId="14" fillId="3" borderId="5" xfId="0" applyNumberFormat="1" applyFont="1" applyFill="1" applyBorder="1" applyAlignment="1">
      <alignment horizontal="center" vertical="center" wrapText="1"/>
    </xf>
    <xf numFmtId="168" fontId="0" fillId="0" borderId="0" xfId="0" applyNumberFormat="1" applyFont="1" applyFill="1" applyAlignment="1"/>
    <xf numFmtId="4" fontId="14" fillId="2" borderId="1" xfId="0" applyNumberFormat="1" applyFont="1" applyFill="1" applyBorder="1" applyAlignment="1">
      <alignment vertical="center" wrapText="1"/>
    </xf>
    <xf numFmtId="4" fontId="14" fillId="2" borderId="8" xfId="0" applyNumberFormat="1" applyFont="1" applyFill="1" applyBorder="1" applyAlignment="1">
      <alignment vertical="center" wrapText="1"/>
    </xf>
    <xf numFmtId="4" fontId="14" fillId="2" borderId="3" xfId="0" applyNumberFormat="1" applyFont="1" applyFill="1" applyBorder="1" applyAlignment="1">
      <alignment vertical="center" wrapText="1"/>
    </xf>
    <xf numFmtId="4" fontId="14" fillId="2" borderId="6" xfId="0" applyNumberFormat="1" applyFont="1" applyFill="1" applyBorder="1" applyAlignment="1">
      <alignment vertical="center" wrapText="1"/>
    </xf>
    <xf numFmtId="4" fontId="14" fillId="2" borderId="21" xfId="0" applyNumberFormat="1" applyFont="1" applyFill="1" applyBorder="1" applyAlignment="1">
      <alignment vertical="center" wrapText="1"/>
    </xf>
    <xf numFmtId="3" fontId="14" fillId="2" borderId="1" xfId="0" applyNumberFormat="1" applyFont="1" applyFill="1" applyBorder="1" applyAlignment="1">
      <alignment vertical="center" wrapText="1"/>
    </xf>
    <xf numFmtId="3" fontId="14" fillId="2" borderId="3" xfId="0" applyNumberFormat="1" applyFont="1" applyFill="1" applyBorder="1" applyAlignment="1">
      <alignment vertical="center" wrapText="1"/>
    </xf>
    <xf numFmtId="0" fontId="14" fillId="2" borderId="1"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center" wrapText="1"/>
    </xf>
    <xf numFmtId="0" fontId="14" fillId="2" borderId="18" xfId="0" applyNumberFormat="1" applyFont="1" applyFill="1" applyBorder="1" applyAlignment="1">
      <alignment horizontal="center" vertical="center" wrapText="1"/>
    </xf>
    <xf numFmtId="0" fontId="14" fillId="2" borderId="4" xfId="0" applyNumberFormat="1" applyFont="1" applyFill="1" applyBorder="1" applyAlignment="1">
      <alignment horizontal="center" vertical="center" wrapText="1"/>
    </xf>
    <xf numFmtId="0" fontId="14" fillId="2" borderId="5" xfId="0" applyNumberFormat="1" applyFont="1" applyFill="1" applyBorder="1" applyAlignment="1">
      <alignment horizontal="center" vertical="center" wrapText="1"/>
    </xf>
    <xf numFmtId="0" fontId="23" fillId="2" borderId="18" xfId="0" applyNumberFormat="1" applyFont="1" applyFill="1" applyBorder="1" applyAlignment="1">
      <alignment horizontal="center" vertical="center" wrapText="1"/>
    </xf>
    <xf numFmtId="0" fontId="23" fillId="2" borderId="4" xfId="0" applyNumberFormat="1" applyFont="1" applyFill="1" applyBorder="1" applyAlignment="1">
      <alignment horizontal="center" vertical="center" wrapText="1"/>
    </xf>
    <xf numFmtId="0" fontId="23" fillId="2" borderId="21" xfId="0" applyNumberFormat="1" applyFont="1" applyFill="1" applyBorder="1" applyAlignment="1">
      <alignment horizontal="center" vertical="center" wrapText="1"/>
    </xf>
    <xf numFmtId="4" fontId="14" fillId="2" borderId="8" xfId="0" applyNumberFormat="1" applyFont="1" applyFill="1" applyBorder="1" applyAlignment="1">
      <alignment horizontal="center" vertical="center" wrapText="1"/>
    </xf>
    <xf numFmtId="4" fontId="14" fillId="2" borderId="12" xfId="0" applyNumberFormat="1"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4" fontId="14" fillId="2" borderId="9" xfId="0" applyNumberFormat="1" applyFont="1" applyFill="1" applyBorder="1" applyAlignment="1">
      <alignment horizontal="center" vertical="center" wrapText="1"/>
    </xf>
    <xf numFmtId="4" fontId="14" fillId="2" borderId="14" xfId="0" applyNumberFormat="1"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14" fillId="3" borderId="6" xfId="0" applyNumberFormat="1" applyFont="1" applyFill="1" applyBorder="1" applyAlignment="1">
      <alignment horizontal="center" vertical="center" wrapText="1"/>
    </xf>
    <xf numFmtId="0" fontId="14" fillId="3" borderId="5" xfId="0" applyNumberFormat="1" applyFont="1" applyFill="1" applyBorder="1" applyAlignment="1">
      <alignment horizontal="center" vertical="center" wrapText="1"/>
    </xf>
    <xf numFmtId="0" fontId="14" fillId="2" borderId="23" xfId="0" applyNumberFormat="1" applyFont="1" applyFill="1" applyBorder="1" applyAlignment="1">
      <alignment horizontal="center" vertical="center" wrapText="1"/>
    </xf>
    <xf numFmtId="0" fontId="14" fillId="2" borderId="24" xfId="0" applyNumberFormat="1" applyFont="1" applyFill="1" applyBorder="1" applyAlignment="1">
      <alignment horizontal="center" vertical="center" wrapText="1"/>
    </xf>
    <xf numFmtId="0" fontId="14" fillId="2" borderId="17" xfId="0" applyNumberFormat="1" applyFont="1" applyFill="1" applyBorder="1" applyAlignment="1">
      <alignment horizontal="center" vertical="center" wrapText="1"/>
    </xf>
    <xf numFmtId="0" fontId="14" fillId="2" borderId="1" xfId="0" applyNumberFormat="1" applyFont="1" applyFill="1" applyBorder="1" applyAlignment="1">
      <alignment horizontal="left" vertical="center" wrapText="1"/>
    </xf>
    <xf numFmtId="0" fontId="14" fillId="2" borderId="3" xfId="0" applyNumberFormat="1" applyFont="1" applyFill="1" applyBorder="1" applyAlignment="1">
      <alignment horizontal="left" vertical="center" wrapText="1"/>
    </xf>
    <xf numFmtId="0" fontId="14" fillId="2" borderId="1" xfId="0" applyNumberFormat="1" applyFont="1" applyFill="1" applyBorder="1" applyAlignment="1">
      <alignment vertical="center" wrapText="1"/>
    </xf>
    <xf numFmtId="0" fontId="14" fillId="2" borderId="3" xfId="0" applyNumberFormat="1" applyFont="1" applyFill="1" applyBorder="1" applyAlignment="1">
      <alignment vertical="center" wrapText="1"/>
    </xf>
    <xf numFmtId="0" fontId="23" fillId="2" borderId="1" xfId="0" applyNumberFormat="1" applyFont="1" applyFill="1" applyBorder="1" applyAlignment="1">
      <alignment horizontal="center" vertical="center" wrapText="1"/>
    </xf>
    <xf numFmtId="0" fontId="23" fillId="2" borderId="3" xfId="0" applyNumberFormat="1" applyFont="1" applyFill="1" applyBorder="1" applyAlignment="1">
      <alignment horizontal="center" vertical="center" wrapText="1"/>
    </xf>
    <xf numFmtId="0" fontId="14" fillId="3" borderId="16" xfId="0" applyNumberFormat="1" applyFont="1" applyFill="1" applyBorder="1" applyAlignment="1">
      <alignment horizontal="center" vertical="center" wrapText="1"/>
    </xf>
    <xf numFmtId="0" fontId="14" fillId="3" borderId="17" xfId="0" applyNumberFormat="1" applyFont="1" applyFill="1" applyBorder="1" applyAlignment="1">
      <alignment horizontal="center" vertical="center" wrapText="1"/>
    </xf>
    <xf numFmtId="0" fontId="14" fillId="3" borderId="1" xfId="0" applyNumberFormat="1" applyFont="1" applyFill="1" applyBorder="1" applyAlignment="1">
      <alignment horizontal="center" vertical="center" wrapText="1"/>
    </xf>
    <xf numFmtId="0" fontId="14" fillId="3" borderId="3" xfId="0" applyNumberFormat="1" applyFont="1" applyFill="1" applyBorder="1" applyAlignment="1">
      <alignment horizontal="center" vertical="center" wrapText="1"/>
    </xf>
    <xf numFmtId="0" fontId="14" fillId="3" borderId="18" xfId="0" applyNumberFormat="1" applyFont="1" applyFill="1" applyBorder="1" applyAlignment="1">
      <alignment horizontal="center" vertical="center" wrapText="1"/>
    </xf>
    <xf numFmtId="0" fontId="27" fillId="3" borderId="6" xfId="0" applyFont="1" applyFill="1" applyBorder="1" applyAlignment="1">
      <alignment vertical="center" wrapText="1"/>
    </xf>
    <xf numFmtId="0" fontId="27" fillId="3" borderId="5" xfId="0" applyFont="1" applyFill="1" applyBorder="1" applyAlignment="1">
      <alignment vertical="center" wrapText="1"/>
    </xf>
    <xf numFmtId="3" fontId="14" fillId="3" borderId="6" xfId="0" applyNumberFormat="1" applyFont="1" applyFill="1" applyBorder="1" applyAlignment="1">
      <alignment vertical="center" wrapText="1"/>
    </xf>
    <xf numFmtId="3" fontId="14" fillId="3" borderId="5" xfId="0" applyNumberFormat="1" applyFont="1" applyFill="1" applyBorder="1" applyAlignment="1">
      <alignment vertical="center" wrapText="1"/>
    </xf>
    <xf numFmtId="4" fontId="14" fillId="3" borderId="6" xfId="0" applyNumberFormat="1" applyFont="1" applyFill="1" applyBorder="1" applyAlignment="1">
      <alignment vertical="center" wrapText="1"/>
    </xf>
    <xf numFmtId="4" fontId="14" fillId="3" borderId="5" xfId="0" applyNumberFormat="1" applyFont="1" applyFill="1" applyBorder="1" applyAlignment="1">
      <alignment vertical="center" wrapText="1"/>
    </xf>
    <xf numFmtId="4" fontId="14" fillId="3" borderId="8" xfId="0" applyNumberFormat="1" applyFont="1" applyFill="1" applyBorder="1" applyAlignment="1">
      <alignment horizontal="center" vertical="center" wrapText="1"/>
    </xf>
    <xf numFmtId="4" fontId="14" fillId="3" borderId="12" xfId="0" applyNumberFormat="1"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cellXfs>
  <cellStyles count="16">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748" Type="http://schemas.openxmlformats.org/officeDocument/2006/relationships/revisionLog" Target="revisionLog470.xml"/><Relationship Id="rId769" Type="http://schemas.openxmlformats.org/officeDocument/2006/relationships/revisionLog" Target="revisionLog491.xml"/><Relationship Id="rId727" Type="http://schemas.openxmlformats.org/officeDocument/2006/relationships/revisionLog" Target="revisionLog449.xml"/><Relationship Id="rId780" Type="http://schemas.openxmlformats.org/officeDocument/2006/relationships/revisionLog" Target="revisionLog502.xml"/><Relationship Id="rId764" Type="http://schemas.openxmlformats.org/officeDocument/2006/relationships/revisionLog" Target="revisionLog486.xml"/><Relationship Id="rId743" Type="http://schemas.openxmlformats.org/officeDocument/2006/relationships/revisionLog" Target="revisionLog465.xml"/><Relationship Id="rId785" Type="http://schemas.openxmlformats.org/officeDocument/2006/relationships/revisionLog" Target="revisionLog507.xml"/><Relationship Id="rId738" Type="http://schemas.openxmlformats.org/officeDocument/2006/relationships/revisionLog" Target="revisionLog460.xml"/><Relationship Id="rId759" Type="http://schemas.openxmlformats.org/officeDocument/2006/relationships/revisionLog" Target="revisionLog481.xml"/><Relationship Id="rId770" Type="http://schemas.openxmlformats.org/officeDocument/2006/relationships/revisionLog" Target="revisionLog492.xml"/><Relationship Id="rId775" Type="http://schemas.openxmlformats.org/officeDocument/2006/relationships/revisionLog" Target="revisionLog497.xml"/><Relationship Id="rId754" Type="http://schemas.openxmlformats.org/officeDocument/2006/relationships/revisionLog" Target="revisionLog476.xml"/><Relationship Id="rId733" Type="http://schemas.openxmlformats.org/officeDocument/2006/relationships/revisionLog" Target="revisionLog455.xml"/><Relationship Id="rId796" Type="http://schemas.openxmlformats.org/officeDocument/2006/relationships/revisionLog" Target="revisionLog518.xml"/><Relationship Id="rId762" Type="http://schemas.openxmlformats.org/officeDocument/2006/relationships/revisionLog" Target="revisionLog484.xml"/><Relationship Id="rId783" Type="http://schemas.openxmlformats.org/officeDocument/2006/relationships/revisionLog" Target="revisionLog505.xml"/><Relationship Id="rId741" Type="http://schemas.openxmlformats.org/officeDocument/2006/relationships/revisionLog" Target="revisionLog463.xml"/><Relationship Id="rId788" Type="http://schemas.openxmlformats.org/officeDocument/2006/relationships/revisionLog" Target="revisionLog510.xml"/><Relationship Id="rId767" Type="http://schemas.openxmlformats.org/officeDocument/2006/relationships/revisionLog" Target="revisionLog489.xml"/><Relationship Id="rId791" Type="http://schemas.openxmlformats.org/officeDocument/2006/relationships/revisionLog" Target="revisionLog513.xml"/><Relationship Id="rId800" Type="http://schemas.openxmlformats.org/officeDocument/2006/relationships/revisionLog" Target="revisionLog1.xml"/><Relationship Id="rId749" Type="http://schemas.openxmlformats.org/officeDocument/2006/relationships/revisionLog" Target="revisionLog471.xml"/><Relationship Id="rId728" Type="http://schemas.openxmlformats.org/officeDocument/2006/relationships/revisionLog" Target="revisionLog450.xml"/><Relationship Id="rId736" Type="http://schemas.openxmlformats.org/officeDocument/2006/relationships/revisionLog" Target="revisionLog458.xml"/><Relationship Id="rId760" Type="http://schemas.openxmlformats.org/officeDocument/2006/relationships/revisionLog" Target="revisionLog482.xml"/><Relationship Id="rId799" Type="http://schemas.openxmlformats.org/officeDocument/2006/relationships/revisionLog" Target="revisionLog521.xml"/><Relationship Id="rId765" Type="http://schemas.openxmlformats.org/officeDocument/2006/relationships/revisionLog" Target="revisionLog487.xml"/><Relationship Id="rId744" Type="http://schemas.openxmlformats.org/officeDocument/2006/relationships/revisionLog" Target="revisionLog466.xml"/><Relationship Id="rId786" Type="http://schemas.openxmlformats.org/officeDocument/2006/relationships/revisionLog" Target="revisionLog508.xml"/><Relationship Id="rId773" Type="http://schemas.openxmlformats.org/officeDocument/2006/relationships/revisionLog" Target="revisionLog495.xml"/><Relationship Id="rId731" Type="http://schemas.openxmlformats.org/officeDocument/2006/relationships/revisionLog" Target="revisionLog453.xml"/><Relationship Id="rId757" Type="http://schemas.openxmlformats.org/officeDocument/2006/relationships/revisionLog" Target="revisionLog479.xml"/><Relationship Id="rId752" Type="http://schemas.openxmlformats.org/officeDocument/2006/relationships/revisionLog" Target="revisionLog474.xml"/><Relationship Id="rId778" Type="http://schemas.openxmlformats.org/officeDocument/2006/relationships/revisionLog" Target="revisionLog500.xml"/><Relationship Id="rId781" Type="http://schemas.openxmlformats.org/officeDocument/2006/relationships/revisionLog" Target="revisionLog503.xml"/><Relationship Id="rId794" Type="http://schemas.openxmlformats.org/officeDocument/2006/relationships/revisionLog" Target="revisionLog516.xml"/><Relationship Id="rId803" Type="http://schemas.openxmlformats.org/officeDocument/2006/relationships/revisionLog" Target="revisionLog4.xml"/><Relationship Id="rId739" Type="http://schemas.openxmlformats.org/officeDocument/2006/relationships/revisionLog" Target="revisionLog461.xml"/><Relationship Id="rId797" Type="http://schemas.openxmlformats.org/officeDocument/2006/relationships/revisionLog" Target="revisionLog519.xml"/><Relationship Id="rId776" Type="http://schemas.openxmlformats.org/officeDocument/2006/relationships/revisionLog" Target="revisionLog498.xml"/><Relationship Id="rId734" Type="http://schemas.openxmlformats.org/officeDocument/2006/relationships/revisionLog" Target="revisionLog456.xml"/><Relationship Id="rId726" Type="http://schemas.openxmlformats.org/officeDocument/2006/relationships/revisionLog" Target="revisionLog448.xml"/><Relationship Id="rId755" Type="http://schemas.openxmlformats.org/officeDocument/2006/relationships/revisionLog" Target="revisionLog477.xml"/><Relationship Id="rId742" Type="http://schemas.openxmlformats.org/officeDocument/2006/relationships/revisionLog" Target="revisionLog464.xml"/><Relationship Id="rId789" Type="http://schemas.openxmlformats.org/officeDocument/2006/relationships/revisionLog" Target="revisionLog511.xml"/><Relationship Id="rId763" Type="http://schemas.openxmlformats.org/officeDocument/2006/relationships/revisionLog" Target="revisionLog485.xml"/><Relationship Id="rId747" Type="http://schemas.openxmlformats.org/officeDocument/2006/relationships/revisionLog" Target="revisionLog469.xml"/><Relationship Id="rId768" Type="http://schemas.openxmlformats.org/officeDocument/2006/relationships/revisionLog" Target="revisionLog490.xml"/><Relationship Id="rId771" Type="http://schemas.openxmlformats.org/officeDocument/2006/relationships/revisionLog" Target="revisionLog493.xml"/><Relationship Id="rId750" Type="http://schemas.openxmlformats.org/officeDocument/2006/relationships/revisionLog" Target="revisionLog472.xml"/><Relationship Id="rId792" Type="http://schemas.openxmlformats.org/officeDocument/2006/relationships/revisionLog" Target="revisionLog514.xml"/><Relationship Id="rId784" Type="http://schemas.openxmlformats.org/officeDocument/2006/relationships/revisionLog" Target="revisionLog506.xml"/><Relationship Id="rId801" Type="http://schemas.openxmlformats.org/officeDocument/2006/relationships/revisionLog" Target="revisionLog2.xml"/><Relationship Id="rId729" Type="http://schemas.openxmlformats.org/officeDocument/2006/relationships/revisionLog" Target="revisionLog451.xml"/><Relationship Id="rId766" Type="http://schemas.openxmlformats.org/officeDocument/2006/relationships/revisionLog" Target="revisionLog488.xml"/><Relationship Id="rId779" Type="http://schemas.openxmlformats.org/officeDocument/2006/relationships/revisionLog" Target="revisionLog501.xml"/><Relationship Id="rId745" Type="http://schemas.openxmlformats.org/officeDocument/2006/relationships/revisionLog" Target="revisionLog467.xml"/><Relationship Id="rId732" Type="http://schemas.openxmlformats.org/officeDocument/2006/relationships/revisionLog" Target="revisionLog454.xml"/><Relationship Id="rId753" Type="http://schemas.openxmlformats.org/officeDocument/2006/relationships/revisionLog" Target="revisionLog475.xml"/><Relationship Id="rId737" Type="http://schemas.openxmlformats.org/officeDocument/2006/relationships/revisionLog" Target="revisionLog459.xml"/><Relationship Id="rId758" Type="http://schemas.openxmlformats.org/officeDocument/2006/relationships/revisionLog" Target="revisionLog480.xml"/><Relationship Id="rId782" Type="http://schemas.openxmlformats.org/officeDocument/2006/relationships/revisionLog" Target="revisionLog504.xml"/><Relationship Id="rId761" Type="http://schemas.openxmlformats.org/officeDocument/2006/relationships/revisionLog" Target="revisionLog483.xml"/><Relationship Id="rId740" Type="http://schemas.openxmlformats.org/officeDocument/2006/relationships/revisionLog" Target="revisionLog462.xml"/><Relationship Id="rId787" Type="http://schemas.openxmlformats.org/officeDocument/2006/relationships/revisionLog" Target="revisionLog509.xml"/><Relationship Id="rId795" Type="http://schemas.openxmlformats.org/officeDocument/2006/relationships/revisionLog" Target="revisionLog517.xml"/><Relationship Id="rId790" Type="http://schemas.openxmlformats.org/officeDocument/2006/relationships/revisionLog" Target="revisionLog512.xml"/><Relationship Id="rId774" Type="http://schemas.openxmlformats.org/officeDocument/2006/relationships/revisionLog" Target="revisionLog496.xml"/><Relationship Id="rId804" Type="http://schemas.openxmlformats.org/officeDocument/2006/relationships/revisionLog" Target="revisionLog5.xml"/><Relationship Id="rId735" Type="http://schemas.openxmlformats.org/officeDocument/2006/relationships/revisionLog" Target="revisionLog457.xml"/><Relationship Id="rId756" Type="http://schemas.openxmlformats.org/officeDocument/2006/relationships/revisionLog" Target="revisionLog478.xml"/><Relationship Id="rId793" Type="http://schemas.openxmlformats.org/officeDocument/2006/relationships/revisionLog" Target="revisionLog515.xml"/><Relationship Id="rId730" Type="http://schemas.openxmlformats.org/officeDocument/2006/relationships/revisionLog" Target="revisionLog452.xml"/><Relationship Id="rId772" Type="http://schemas.openxmlformats.org/officeDocument/2006/relationships/revisionLog" Target="revisionLog494.xml"/><Relationship Id="rId751" Type="http://schemas.openxmlformats.org/officeDocument/2006/relationships/revisionLog" Target="revisionLog473.xml"/><Relationship Id="rId798" Type="http://schemas.openxmlformats.org/officeDocument/2006/relationships/revisionLog" Target="revisionLog520.xml"/><Relationship Id="rId777" Type="http://schemas.openxmlformats.org/officeDocument/2006/relationships/revisionLog" Target="revisionLog499.xml"/><Relationship Id="rId802" Type="http://schemas.openxmlformats.org/officeDocument/2006/relationships/revisionLog" Target="revisionLog3.xml"/><Relationship Id="rId725" Type="http://schemas.openxmlformats.org/officeDocument/2006/relationships/revisionLog" Target="revisionLog447.xml"/><Relationship Id="rId746" Type="http://schemas.openxmlformats.org/officeDocument/2006/relationships/revisionLog" Target="revisionLog46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C47B2D5-696B-454E-BC8B-7ECEFC1ACF64}" diskRevisions="1" revisionId="6649" version="7">
  <header guid="{A4241BDF-6F39-4427-B001-7B082F61489A}" dateTime="2019-01-03T12:50:07" maxSheetId="2" userName="raluca.georgescu" r:id="rId725" minRId="5146" maxRId="5149">
    <sheetIdMap count="1">
      <sheetId val="1"/>
    </sheetIdMap>
  </header>
  <header guid="{56E06FEF-E901-4FEC-B182-60A8B2331245}" dateTime="2019-01-03T14:07:40" maxSheetId="2" userName="raluca.georgescu" r:id="rId726" minRId="5152" maxRId="5156">
    <sheetIdMap count="1">
      <sheetId val="1"/>
    </sheetIdMap>
  </header>
  <header guid="{59BB535E-A8D5-40D4-AF19-3BA9DD183094}" dateTime="2019-01-03T14:14:11" maxSheetId="2" userName="maria.petre" r:id="rId727" minRId="5157" maxRId="5173">
    <sheetIdMap count="1">
      <sheetId val="1"/>
    </sheetIdMap>
  </header>
  <header guid="{6AD5014E-4901-425C-B655-E67A5EA14CEB}" dateTime="2019-01-03T14:40:48" maxSheetId="2" userName="maria.petre" r:id="rId728" minRId="5177" maxRId="5197">
    <sheetIdMap count="1">
      <sheetId val="1"/>
    </sheetIdMap>
  </header>
  <header guid="{781BD0CB-4282-4D52-AD98-F454FA4183B8}" dateTime="2019-01-03T14:55:12" maxSheetId="2" userName="maria.petre" r:id="rId729" minRId="5198">
    <sheetIdMap count="1">
      <sheetId val="1"/>
    </sheetIdMap>
  </header>
  <header guid="{01EEEBB7-32B0-4F2D-89F2-032D87360A67}" dateTime="2019-01-03T15:24:55" maxSheetId="2" userName="maria.petre" r:id="rId730" minRId="5199" maxRId="5213">
    <sheetIdMap count="1">
      <sheetId val="1"/>
    </sheetIdMap>
  </header>
  <header guid="{9758750B-067D-48B6-88E1-44D7B62EFA08}" dateTime="2019-01-03T15:27:08" maxSheetId="2" userName="maria.petre" r:id="rId731" minRId="5217" maxRId="5231">
    <sheetIdMap count="1">
      <sheetId val="1"/>
    </sheetIdMap>
  </header>
  <header guid="{F135E025-CE2A-4940-94CF-7F2967CE5FC5}" dateTime="2019-01-04T09:15:28" maxSheetId="2" userName="vlad.pereteanu" r:id="rId732" minRId="5234">
    <sheetIdMap count="1">
      <sheetId val="1"/>
    </sheetIdMap>
  </header>
  <header guid="{4450DD25-642C-4805-B79A-087E455AE498}" dateTime="2019-01-04T09:16:59" maxSheetId="2" userName="vlad.pereteanu" r:id="rId733" minRId="5237">
    <sheetIdMap count="1">
      <sheetId val="1"/>
    </sheetIdMap>
  </header>
  <header guid="{285F00E9-DB3F-4C7F-8C03-3FAD828D2C0A}" dateTime="2019-01-04T09:22:18" maxSheetId="2" userName="vlad.pereteanu" r:id="rId734" minRId="5240" maxRId="5243">
    <sheetIdMap count="1">
      <sheetId val="1"/>
    </sheetIdMap>
  </header>
  <header guid="{3D38EAF7-DDA7-4138-8927-998C3F5AB66E}" dateTime="2019-01-04T09:22:25" maxSheetId="2" userName="vlad.pereteanu" r:id="rId735">
    <sheetIdMap count="1">
      <sheetId val="1"/>
    </sheetIdMap>
  </header>
  <header guid="{19796C05-BFE9-4E64-9CDE-60A50AFE884B}" dateTime="2019-01-04T09:58:08" maxSheetId="2" userName="otilia.chirita" r:id="rId736" minRId="5248">
    <sheetIdMap count="1">
      <sheetId val="1"/>
    </sheetIdMap>
  </header>
  <header guid="{899FD51E-1B84-40A3-9FE8-061E0329779B}" dateTime="2019-01-04T10:01:46" maxSheetId="2" userName="maria.petre" r:id="rId737">
    <sheetIdMap count="1">
      <sheetId val="1"/>
    </sheetIdMap>
  </header>
  <header guid="{B782EB0A-7B14-4E39-844A-2FF1ED417788}" dateTime="2019-01-04T17:32:03" maxSheetId="2" userName="mihaela.vasilescu" r:id="rId738">
    <sheetIdMap count="1">
      <sheetId val="1"/>
    </sheetIdMap>
  </header>
  <header guid="{5A0FD7BC-A2AC-49EC-B059-CA8EB8665D63}" dateTime="2019-01-07T11:01:24" maxSheetId="2" userName="luminita.jipa" r:id="rId739" minRId="5255" maxRId="5405">
    <sheetIdMap count="1">
      <sheetId val="1"/>
    </sheetIdMap>
  </header>
  <header guid="{C5E55073-EDF4-49AA-9CF1-EF1793460765}" dateTime="2019-01-07T12:04:06" maxSheetId="2" userName="luminita.jipa" r:id="rId740" minRId="5408" maxRId="5466">
    <sheetIdMap count="1">
      <sheetId val="1"/>
    </sheetIdMap>
  </header>
  <header guid="{86A5392C-8DD2-45DB-B996-44224D026ECB}" dateTime="2019-01-07T12:29:19" maxSheetId="2" userName="luminita.jipa" r:id="rId741" minRId="5467" maxRId="5468">
    <sheetIdMap count="1">
      <sheetId val="1"/>
    </sheetIdMap>
  </header>
  <header guid="{460E06CE-2BDB-4EC7-97F0-1774206D93E2}" dateTime="2019-01-07T16:54:47" maxSheetId="2" userName="luminita.jipa" r:id="rId742" minRId="5469" maxRId="5470">
    <sheetIdMap count="1">
      <sheetId val="1"/>
    </sheetIdMap>
  </header>
  <header guid="{D275AD59-2780-4519-85EA-8B71582E460F}" dateTime="2019-01-07T17:48:05" maxSheetId="2" userName="luminita.jipa" r:id="rId743" minRId="5471" maxRId="5528">
    <sheetIdMap count="1">
      <sheetId val="1"/>
    </sheetIdMap>
  </header>
  <header guid="{85A43FAA-3320-4077-9EB0-BEF8EEB9D2DE}" dateTime="2019-01-07T19:00:08" maxSheetId="2" userName="luminita.jipa" r:id="rId744" minRId="5529" maxRId="5590">
    <sheetIdMap count="1">
      <sheetId val="1"/>
    </sheetIdMap>
  </header>
  <header guid="{B38AE8B0-B6E2-4CF3-B8FE-87931D4A6214}" dateTime="2019-01-08T09:21:03" maxSheetId="2" userName="raluca.georgescu" r:id="rId745" minRId="5591" maxRId="5595">
    <sheetIdMap count="1">
      <sheetId val="1"/>
    </sheetIdMap>
  </header>
  <header guid="{62C3CED7-E2DC-4EBF-ADD8-76F9CC63DD34}" dateTime="2019-01-08T09:21:32" maxSheetId="2" userName="raluca.georgescu" r:id="rId746" minRId="5598" maxRId="5599">
    <sheetIdMap count="1">
      <sheetId val="1"/>
    </sheetIdMap>
  </header>
  <header guid="{A00D8AF1-046F-485E-A66F-BEC37C0FC383}" dateTime="2019-01-08T09:22:28" maxSheetId="2" userName="raluca.georgescu" r:id="rId747" minRId="5600" maxRId="5602">
    <sheetIdMap count="1">
      <sheetId val="1"/>
    </sheetIdMap>
  </header>
  <header guid="{6F22C328-DE3C-44E4-90D9-643A3EEF2CC0}" dateTime="2019-01-08T10:15:24" maxSheetId="2" userName="roxana.barbu" r:id="rId748" minRId="5605" maxRId="5611">
    <sheetIdMap count="1">
      <sheetId val="1"/>
    </sheetIdMap>
  </header>
  <header guid="{DDDDD3DF-6117-4728-BACE-9D57341484E0}" dateTime="2019-01-08T10:27:56" maxSheetId="2" userName="roxana.barbu" r:id="rId749" minRId="5614" maxRId="5624">
    <sheetIdMap count="1">
      <sheetId val="1"/>
    </sheetIdMap>
  </header>
  <header guid="{89250DCE-2653-4362-A864-DD00B7169AD7}" dateTime="2019-01-08T10:36:03" maxSheetId="2" userName="roxana.barbu" r:id="rId750" minRId="5625" maxRId="5628">
    <sheetIdMap count="1">
      <sheetId val="1"/>
    </sheetIdMap>
  </header>
  <header guid="{AFCFA61B-DA66-4133-AC55-397509E07A48}" dateTime="2019-01-08T10:36:11" maxSheetId="2" userName="roxana.barbu" r:id="rId751" minRId="5629" maxRId="5631">
    <sheetIdMap count="1">
      <sheetId val="1"/>
    </sheetIdMap>
  </header>
  <header guid="{76CE62A8-1883-428D-9273-024F32A1ED0A}" dateTime="2019-01-08T10:36:55" maxSheetId="2" userName="roxana.barbu" r:id="rId752" minRId="5632" maxRId="5633">
    <sheetIdMap count="1">
      <sheetId val="1"/>
    </sheetIdMap>
  </header>
  <header guid="{1D5D664B-A603-4357-861D-624F81080953}" dateTime="2019-01-08T14:44:41" maxSheetId="2" userName="maria.petre" r:id="rId753">
    <sheetIdMap count="1">
      <sheetId val="1"/>
    </sheetIdMap>
  </header>
  <header guid="{79C90AF4-5F4D-4F96-B7C3-7637E7214A96}" dateTime="2019-01-08T14:58:26" maxSheetId="2" userName="maria.petre" r:id="rId754" minRId="5636" maxRId="5671">
    <sheetIdMap count="1">
      <sheetId val="1"/>
    </sheetIdMap>
  </header>
  <header guid="{BEF90C1E-5B45-419B-ABD6-665D3EFE0912}" dateTime="2019-01-08T17:38:38" maxSheetId="2" userName="luminita.jipa" r:id="rId755" minRId="5675" maxRId="5694">
    <sheetIdMap count="1">
      <sheetId val="1"/>
    </sheetIdMap>
  </header>
  <header guid="{D4B551E7-D3AF-445C-97F5-B7F3EDC2BAE2}" dateTime="2019-01-08T17:39:40" maxSheetId="2" userName="vlad.pereteanu" r:id="rId756">
    <sheetIdMap count="1">
      <sheetId val="1"/>
    </sheetIdMap>
  </header>
  <header guid="{291FEF79-6B56-4D1C-827E-2AD9980EBCFB}" dateTime="2019-01-08T18:02:54" maxSheetId="2" userName="luminita.jipa" r:id="rId757" minRId="5699" maxRId="5706">
    <sheetIdMap count="1">
      <sheetId val="1"/>
    </sheetIdMap>
  </header>
  <header guid="{CE3EDE62-F348-4B77-8420-B9E644FB75EE}" dateTime="2019-01-08T18:47:15" maxSheetId="2" userName="luminita.jipa" r:id="rId758" minRId="5707">
    <sheetIdMap count="1">
      <sheetId val="1"/>
    </sheetIdMap>
  </header>
  <header guid="{0D359D44-FF5E-41AB-A4BF-2BC7C3685DDD}" dateTime="2019-01-08T18:54:17" maxSheetId="2" userName="luminita.jipa" r:id="rId759" minRId="5708" maxRId="5727">
    <sheetIdMap count="1">
      <sheetId val="1"/>
    </sheetIdMap>
  </header>
  <header guid="{F65C9516-97FF-4A2E-9304-DBDA33B4BC82}" dateTime="2019-01-08T18:57:03" maxSheetId="2" userName="luminita.jipa" r:id="rId760" minRId="5728" maxRId="5729">
    <sheetIdMap count="1">
      <sheetId val="1"/>
    </sheetIdMap>
  </header>
  <header guid="{AC541990-6178-4A9F-A06C-7413A952DB30}" dateTime="2019-01-08T19:48:39" maxSheetId="2" userName="luminita.jipa" r:id="rId761" minRId="5730" maxRId="5744">
    <sheetIdMap count="1">
      <sheetId val="1"/>
    </sheetIdMap>
  </header>
  <header guid="{8F25F297-5037-46E4-8526-068073CACD7E}" dateTime="2019-01-09T09:51:36" maxSheetId="2" userName="maria.petre" r:id="rId762">
    <sheetIdMap count="1">
      <sheetId val="1"/>
    </sheetIdMap>
  </header>
  <header guid="{67D77EE5-983A-49B7-8376-699FD9A78CA7}" dateTime="2019-01-11T11:33:41" maxSheetId="2" userName="maria.petre" r:id="rId763" minRId="5748">
    <sheetIdMap count="1">
      <sheetId val="1"/>
    </sheetIdMap>
  </header>
  <header guid="{D1D483F8-E85B-4773-939B-76562FC9411D}" dateTime="2019-01-16T15:21:43" maxSheetId="2" userName="mariana.moraru" r:id="rId764" minRId="5751" maxRId="5779">
    <sheetIdMap count="1">
      <sheetId val="1"/>
    </sheetIdMap>
  </header>
  <header guid="{708F2381-FF6D-4619-9867-73AF564F0552}" dateTime="2019-01-21T10:24:03" maxSheetId="2" userName="ovidiu.dumitrache" r:id="rId765" minRId="5782" maxRId="5821">
    <sheetIdMap count="1">
      <sheetId val="1"/>
    </sheetIdMap>
  </header>
  <header guid="{4D5D472F-E1C1-4125-B156-CB1AABCE6F01}" dateTime="2019-01-21T10:29:11" maxSheetId="2" userName="roxana.barbu" r:id="rId766" minRId="5824" maxRId="5826">
    <sheetIdMap count="1">
      <sheetId val="1"/>
    </sheetIdMap>
  </header>
  <header guid="{BB0265C9-80F7-49C0-A138-FFAD71955A8F}" dateTime="2019-01-21T14:29:05" maxSheetId="2" userName="elisabeta.trifan" r:id="rId767">
    <sheetIdMap count="1">
      <sheetId val="1"/>
    </sheetIdMap>
  </header>
  <header guid="{7573098D-B59C-430F-800A-3D2FBEDF993B}" dateTime="2019-01-21T17:17:11" maxSheetId="2" userName="elisabeta.trifan" r:id="rId768" minRId="5831" maxRId="5833">
    <sheetIdMap count="1">
      <sheetId val="1"/>
    </sheetIdMap>
  </header>
  <header guid="{85B3E466-B26F-422C-8FE4-F6B531C0F6E1}" dateTime="2019-01-21T17:17:16" maxSheetId="2" userName="elisabeta.trifan" r:id="rId769" minRId="5836">
    <sheetIdMap count="1">
      <sheetId val="1"/>
    </sheetIdMap>
  </header>
  <header guid="{360CA0D3-FB8D-41FA-B245-C8D5A5FA90D5}" dateTime="2019-01-21T17:17:27" maxSheetId="2" userName="elisabeta.trifan" r:id="rId770" minRId="5837" maxRId="5838">
    <sheetIdMap count="1">
      <sheetId val="1"/>
    </sheetIdMap>
  </header>
  <header guid="{43B30197-23A0-483F-AA89-19CFC47F210E}" dateTime="2019-01-21T17:17:47" maxSheetId="2" userName="elisabeta.trifan" r:id="rId771" minRId="5841">
    <sheetIdMap count="1">
      <sheetId val="1"/>
    </sheetIdMap>
  </header>
  <header guid="{44BED6F0-999C-4563-AC5E-74F2BCF94779}" dateTime="2019-01-21T17:18:15" maxSheetId="2" userName="elisabeta.trifan" r:id="rId772" minRId="5842">
    <sheetIdMap count="1">
      <sheetId val="1"/>
    </sheetIdMap>
  </header>
  <header guid="{5EB5122C-6169-4A57-A263-2C2D74D237BB}" dateTime="2019-01-21T17:18:21" maxSheetId="2" userName="elisabeta.trifan" r:id="rId773" minRId="5843">
    <sheetIdMap count="1">
      <sheetId val="1"/>
    </sheetIdMap>
  </header>
  <header guid="{4BEA028A-278E-415E-904E-8165618C8CB3}" dateTime="2019-01-21T17:20:53" maxSheetId="2" userName="elisabeta.trifan" r:id="rId774" minRId="5844">
    <sheetIdMap count="1">
      <sheetId val="1"/>
    </sheetIdMap>
  </header>
  <header guid="{1208B9DC-EA7C-4A1A-81C1-8BA42229E0A4}" dateTime="2019-01-21T17:21:02" maxSheetId="2" userName="elisabeta.trifan" r:id="rId775" minRId="5847">
    <sheetIdMap count="1">
      <sheetId val="1"/>
    </sheetIdMap>
  </header>
  <header guid="{97218A88-41FC-4DDB-88EC-CBD28D455E93}" dateTime="2019-01-21T17:22:04" maxSheetId="2" userName="elisabeta.trifan" r:id="rId776" minRId="5848">
    <sheetIdMap count="1">
      <sheetId val="1"/>
    </sheetIdMap>
  </header>
  <header guid="{6BAA89C1-D6F2-4EF6-B297-BFC0078A03FD}" dateTime="2019-01-21T17:22:30" maxSheetId="2" userName="elisabeta.trifan" r:id="rId777" minRId="5849" maxRId="5852">
    <sheetIdMap count="1">
      <sheetId val="1"/>
    </sheetIdMap>
  </header>
  <header guid="{169AC49F-5948-4A4E-81F1-52039A05B0FA}" dateTime="2019-01-21T17:22:39" maxSheetId="2" userName="elisabeta.trifan" r:id="rId778" minRId="5853">
    <sheetIdMap count="1">
      <sheetId val="1"/>
    </sheetIdMap>
  </header>
  <header guid="{4428AA96-3A72-45A6-9E7F-EA32324B6FE6}" dateTime="2019-01-21T17:23:54" maxSheetId="2" userName="elisabeta.trifan" r:id="rId779" minRId="5856" maxRId="5858">
    <sheetIdMap count="1">
      <sheetId val="1"/>
    </sheetIdMap>
  </header>
  <header guid="{3FF3A25B-B707-4AE7-B516-315915D436EB}" dateTime="2019-01-21T17:24:16" maxSheetId="2" userName="elisabeta.trifan" r:id="rId780" minRId="5859" maxRId="5861">
    <sheetIdMap count="1">
      <sheetId val="1"/>
    </sheetIdMap>
  </header>
  <header guid="{77092168-EBB6-4DA2-B1AB-D53604556572}" dateTime="2019-01-21T17:24:54" maxSheetId="2" userName="elisabeta.trifan" r:id="rId781" minRId="5862" maxRId="5864">
    <sheetIdMap count="1">
      <sheetId val="1"/>
    </sheetIdMap>
  </header>
  <header guid="{FCA6200F-3FD1-48A8-BC37-CEF4E26AE0DC}" dateTime="2019-01-21T17:25:03" maxSheetId="2" userName="elisabeta.trifan" r:id="rId782" minRId="5865" maxRId="5866">
    <sheetIdMap count="1">
      <sheetId val="1"/>
    </sheetIdMap>
  </header>
  <header guid="{386A0E90-5481-4A7C-A2FB-F0027BFB7874}" dateTime="2019-01-21T17:25:14" maxSheetId="2" userName="elisabeta.trifan" r:id="rId783" minRId="5867" maxRId="5868">
    <sheetIdMap count="1">
      <sheetId val="1"/>
    </sheetIdMap>
  </header>
  <header guid="{35B6D80B-E077-45A5-BE54-D1AE7E08064A}" dateTime="2019-01-25T11:41:05" maxSheetId="2" userName="maria.petre" r:id="rId784" minRId="5869">
    <sheetIdMap count="1">
      <sheetId val="1"/>
    </sheetIdMap>
  </header>
  <header guid="{1DF8D819-5811-4D04-8B38-23D84386EEB7}" dateTime="2019-01-25T14:31:23" maxSheetId="2" userName="elisabeta.trifan" r:id="rId785" minRId="5872" maxRId="5877">
    <sheetIdMap count="1">
      <sheetId val="1"/>
    </sheetIdMap>
  </header>
  <header guid="{6DDF088B-0A51-4E5E-980D-FFDBBEFAAC52}" dateTime="2019-01-25T14:31:39" maxSheetId="2" userName="elisabeta.trifan" r:id="rId786" minRId="5880" maxRId="5881">
    <sheetIdMap count="1">
      <sheetId val="1"/>
    </sheetIdMap>
  </header>
  <header guid="{CAB23DCB-B6C2-4348-B287-36B82D14C3BF}" dateTime="2019-01-25T14:32:15" maxSheetId="2" userName="elisabeta.trifan" r:id="rId787" minRId="5882" maxRId="5883">
    <sheetIdMap count="1">
      <sheetId val="1"/>
    </sheetIdMap>
  </header>
  <header guid="{D646A26A-4861-496F-8B03-B1C204F7E626}" dateTime="2019-01-25T14:33:05" maxSheetId="2" userName="elisabeta.trifan" r:id="rId788" minRId="5884">
    <sheetIdMap count="1">
      <sheetId val="1"/>
    </sheetIdMap>
  </header>
  <header guid="{41CCF6F8-74A2-46FC-AF71-7FB85475DC7B}" dateTime="2019-01-25T14:33:29" maxSheetId="2" userName="elisabeta.trifan" r:id="rId789" minRId="5885">
    <sheetIdMap count="1">
      <sheetId val="1"/>
    </sheetIdMap>
  </header>
  <header guid="{A38704C2-4568-4ED7-AA0F-ADCA8778C4F9}" dateTime="2019-01-25T14:33:36" maxSheetId="2" userName="elisabeta.trifan" r:id="rId790" minRId="5886">
    <sheetIdMap count="1">
      <sheetId val="1"/>
    </sheetIdMap>
  </header>
  <header guid="{677035BB-0231-4FEF-98AC-3C17961D43E9}" dateTime="2019-01-25T14:34:22" maxSheetId="2" userName="elisabeta.trifan" r:id="rId791" minRId="5887">
    <sheetIdMap count="1">
      <sheetId val="1"/>
    </sheetIdMap>
  </header>
  <header guid="{5E1DCADA-AA18-45A4-8C5A-47FC4E9E640D}" dateTime="2019-01-25T14:34:31" maxSheetId="2" userName="elisabeta.trifan" r:id="rId792" minRId="5888">
    <sheetIdMap count="1">
      <sheetId val="1"/>
    </sheetIdMap>
  </header>
  <header guid="{45DECE21-6DCC-456D-B6FF-FC58A2B6D718}" dateTime="2019-01-25T14:35:32" maxSheetId="2" userName="elisabeta.trifan" r:id="rId793" minRId="5889">
    <sheetIdMap count="1">
      <sheetId val="1"/>
    </sheetIdMap>
  </header>
  <header guid="{A74748E0-16F7-45EB-BC8A-E3569074E7E1}" dateTime="2019-01-25T14:35:46" maxSheetId="2" userName="elisabeta.trifan" r:id="rId794" minRId="5890" maxRId="5893">
    <sheetIdMap count="1">
      <sheetId val="1"/>
    </sheetIdMap>
  </header>
  <header guid="{F7C5492A-257F-45E1-92FA-7A3F8001B601}" dateTime="2019-01-25T14:35:52" maxSheetId="2" userName="elisabeta.trifan" r:id="rId795" minRId="5894">
    <sheetIdMap count="1">
      <sheetId val="1"/>
    </sheetIdMap>
  </header>
  <header guid="{B86A111F-C51D-4596-A2BC-45264842117C}" dateTime="2019-01-25T14:39:40" maxSheetId="2" userName="elisabeta.trifan" r:id="rId796" minRId="5895" maxRId="5904">
    <sheetIdMap count="1">
      <sheetId val="1"/>
    </sheetIdMap>
  </header>
  <header guid="{B0BBBA6F-D0AD-4439-B6EC-E3A48BC0408C}" dateTime="2019-01-25T14:39:55" maxSheetId="2" userName="elisabeta.trifan" r:id="rId797" minRId="5905" maxRId="5907">
    <sheetIdMap count="1">
      <sheetId val="1"/>
    </sheetIdMap>
  </header>
  <header guid="{40BBECD9-9D90-487F-98A2-5DF01627BB55}" dateTime="2019-01-25T14:40:03" maxSheetId="2" userName="elisabeta.trifan" r:id="rId798">
    <sheetIdMap count="1">
      <sheetId val="1"/>
    </sheetIdMap>
  </header>
  <header guid="{882FDD1B-5339-4586-AF3F-917AE27439B6}" dateTime="2019-01-29T09:05:16" maxSheetId="2" userName="steluta.bulaceanu" r:id="rId799">
    <sheetIdMap count="1">
      <sheetId val="1"/>
    </sheetIdMap>
  </header>
  <header guid="{B4CE05D2-3ACC-472F-BCE2-B6DDB81AD7A8}" dateTime="2019-01-29T09:54:22" maxSheetId="2" userName="mircea.pavel" r:id="rId800" minRId="5912" maxRId="6006">
    <sheetIdMap count="1">
      <sheetId val="1"/>
    </sheetIdMap>
  </header>
  <header guid="{C8D8466C-C169-4389-841F-A066278F0A48}" dateTime="2019-01-29T10:22:30" maxSheetId="2" userName="mircea.pavel" r:id="rId801" minRId="6009" maxRId="6645">
    <sheetIdMap count="1">
      <sheetId val="1"/>
    </sheetIdMap>
  </header>
  <header guid="{3EF1DE08-D805-420C-9EEB-036735D3844E}" dateTime="2019-01-29T10:32:29" maxSheetId="2" userName="mircea.pavel" r:id="rId802" minRId="6646" maxRId="6647">
    <sheetIdMap count="1">
      <sheetId val="1"/>
    </sheetIdMap>
  </header>
  <header guid="{B299C196-EB5C-4741-8886-B58FD375CDBD}" dateTime="2019-01-31T11:51:00" maxSheetId="2" userName="mircea.pavel" r:id="rId803" minRId="6648">
    <sheetIdMap count="1">
      <sheetId val="1"/>
    </sheetIdMap>
  </header>
  <header guid="{4C47B2D5-696B-454E-BC8B-7ECEFC1ACF64}" dateTime="2019-01-31T11:53:12" maxSheetId="2" userName="mircea.pavel" r:id="rId804" minRId="6649">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dxf>
      <fill>
        <patternFill patternType="none">
          <bgColor auto="1"/>
        </patternFill>
      </fill>
    </dxf>
  </rfmt>
  <rrc rId="5912" sId="1" ref="AL1:AL1048576" action="deleteCol">
    <undo index="65535" exp="area" ref3D="1" dr="$A$1:$AL$529" dn="Z_7C1B4D6D_D666_48DD_AB17_E00791B6F0B6_.wvu.PrintArea" sId="1"/>
    <undo index="65535" exp="area" ref3D="1" dr="$A$1:$AL$529" dn="Z_747340EB_2B31_46D2_ACDE_4FA91E2B50F6_.wvu.PrintArea" sId="1"/>
    <undo index="65535" exp="area" ref3D="1" dr="$A$1:$AL$502" dn="Z_0781B6C2_B440_4971_9809_BD16245A70FD_.wvu.FilterData" sId="1"/>
    <undo index="65535" exp="area" ref3D="1" dr="$A$6:$AL$529" dn="Z_6CE52079_5576_45A5_9A9F_9CA970D849EF_.wvu.FilterData" sId="1"/>
    <undo index="65535" exp="area" ref3D="1" dr="$A$1:$AL$502" dn="Z_65C35D6D_934F_4431_BA92_90255FC17BA4_.wvu.FilterData" sId="1"/>
    <undo index="65535" exp="area" ref3D="1" dr="$A$1:$AL$529" dn="Z_65B035E3_87FA_46C5_996E_864F2C8D0EBC_.wvu.PrintArea" sId="1"/>
    <undo index="65535" exp="area" ref3D="1" dr="$A$1:$AL$529" dn="Z_5AAA4DFE_88B1_4674_95ED_5FCD7A50BC22_.wvu.PrintArea" sId="1"/>
    <undo index="65535" exp="area" ref3D="1" dr="$A$6:$AL$529" dn="Z_53ED3D47_B2C0_43A1_9A1E_F030D529F74C_.wvu.FilterData" sId="1"/>
    <undo index="65535" exp="area" ref3D="1" dr="$A$6:$AL$529" dn="Z_41AA4E5D_9625_4478_B720_2BD6AE34E699_.wvu.FilterData" sId="1"/>
    <undo index="65535" exp="area" ref3D="1" dr="$A$6:$AL$529" dn="Z_2547C3D7_22F7_4CAF_8E48_C8F3425DB942_.wvu.FilterData" sId="1"/>
    <undo index="65535" exp="area" ref3D="1" dr="$A$3:$AL$502" dn="Z_250231BB_5F02_4B46_B1CA_B904A9B40BA2_.wvu.FilterData" sId="1"/>
    <undo index="65535" exp="area" ref3D="1" dr="$A$1:$AL$502" dn="Z_471339A8_E0FA_4CA1_8194_04936068CF02_.wvu.FilterData" sId="1"/>
    <undo index="65535" exp="area" ref3D="1" dr="$A$6:$AL$529" dn="Z_0585DD1B_89D4_4278_953B_FA6D57DCCE82_.wvu.FilterData" sId="1"/>
    <undo index="65535" exp="area" ref3D="1" dr="$A$1:$AL$529" dn="Z_0781B6C2_B440_4971_9809_BD16245A70FD_.wvu.PrintArea" sId="1"/>
    <undo index="65535" exp="area" ref3D="1" dr="$A$1:$AL$529" dn="Z_36624B2D_80F9_4F79_AC4A_B3547C36F23F_.wvu.PrintArea" sId="1"/>
    <undo index="65535" exp="area" ref3D="1" dr="$A$6:$AL$529" dn="Z_17F4A6A1_469E_46FB_A3A0_041FC3712E3B_.wvu.FilterData" sId="1"/>
    <undo index="65535" exp="area" ref3D="1" dr="$A$1:$AL$481" dn="Z_4AAB8139_F2B6_43E5_8C9F_E607BD4F44E4_.wvu.FilterData" sId="1"/>
    <undo index="65535" exp="area" ref3D="1" dr="$A$1:$AL$481" dn="Z_5E661ABE_E06E_455E_A661_DDD1907219D0_.wvu.FilterData" sId="1"/>
    <undo index="65535" exp="area" ref3D="1" dr="$A$6:$AL$529" dn="Z_2A26C971_CCE6_49C7_89EC_0B2699E5DD98_.wvu.FilterData" sId="1"/>
    <undo index="65535" exp="area" ref3D="1" dr="$A$1:$AL$390" dn="Z_4179C3D9_D1C3_46CD_B643_627525757C5E_.wvu.FilterData" sId="1"/>
    <undo index="65535" exp="area" ref3D="1" dr="$A$6:$AL$529" dn="Z_324E461A_DC75_4814_87BA_41F170D0ED0B_.wvu.FilterData" sId="1"/>
    <undo index="65535" exp="area" ref3D="1" dr="$A$1:$AL$529" dn="Z_3AFE79CE_CE75_447D_8C73_1AE63A224CBA_.wvu.PrintArea" sId="1"/>
    <undo index="65535" exp="area" ref3D="1" dr="$A$6:$AL$529" dn="Z_34BB42D3_88F0_437E_91ED_3E3C369B9525_.wvu.FilterData" sId="1"/>
    <undo index="65535" exp="area" ref3D="1" dr="$A$6:$AL$529" dn="Z_305BEEB9_C99E_4E52_A4AB_56EA1595A366_.wvu.FilterData" sId="1"/>
    <undo index="65535" exp="area" ref3D="1" dr="$A$1:$AL$529" dn="Print_Area" sId="1"/>
    <undo index="65535" exp="area" ref3D="1" dr="$A$6:$AL$529" dn="Z_0A043D96_6DF8_4E40_9D1E_818A39BAFD81_.wvu.FilterData" sId="1"/>
    <undo index="65535" exp="area" ref3D="1" dr="$A$6:$AL$529" dn="Z_3AFE79CE_CE75_447D_8C73_1AE63A224CBA_.wvu.FilterData" sId="1"/>
    <undo index="65535" exp="area" ref3D="1" dr="$A$1:$AL$529" dn="Z_65C35D6D_934F_4431_BA92_90255FC17BA4_.wvu.PrintArea" sId="1"/>
    <undo index="65535" exp="area" ref3D="1" dr="$A$1:$AL$529" dn="Z_53ED3D47_B2C0_43A1_9A1E_F030D529F74C_.wvu.PrintArea" sId="1"/>
    <undo index="65535" exp="area" ref3D="1" dr="$A$6:$AL$529" dn="Z_4FDB167B_D56E_45D4_B120_847D0871AA6B_.wvu.FilterData" sId="1"/>
    <undo index="65535" exp="area" ref3D="1" dr="$A$1:$AL$529" dn="Z_2C296388_EDB5_4F1F_B0F4_90EC07CCD947_.wvu.PrintArea" sId="1"/>
    <undo index="65535" exp="area" ref3D="1" dr="$A$1:$AL$529" dn="Z_00A99CA1_F635_44AE_9E4D_C2CEC4CEF175_.wvu.PrintArea" sId="1"/>
    <undo index="65535" exp="area" ref3D="1" dr="$A$6:$AL$529" dn="Z_2355B1FA_E7E3_44CD_A529_24812589AA28_.wvu.FilterData" sId="1"/>
    <undo index="65535" exp="area" ref3D="1" dr="$A$6:$AL$529" dn="Z_3E7AD119_0031_4735_857B_FBC0C47AB231_.wvu.FilterData" sId="1"/>
    <undo index="65535" exp="area" ref3D="1" dr="$A$6:$AL$529" dn="Z_38C68E87_361F_434A_8BE4_BA2AF4CB3868_.wvu.FilterData" sId="1"/>
    <undo index="65535" exp="area" ref3D="1" dr="$A$6:$AL$529" dn="Z_923E7374_9C36_4380_9E0A_313EA2F408F0_.wvu.FilterData" sId="1"/>
    <undo index="65535" exp="area" ref3D="1" dr="$A$6:$AL$529" dn="Z_91199DA1_59E7_4345_8CB7_A1085C901326_.wvu.FilterData" sId="1"/>
    <undo index="65535" exp="area" ref3D="1" dr="$A$1:$AL$529" dn="Z_905D93EA_5662_45AB_8995_A9908B3E5D52_.wvu.PrintArea" sId="1"/>
    <undo index="65535" exp="area" ref3D="1" dr="$A$1:$AL$529" dn="Z_901F9774_8BE7_424D_87C2_1026F3FA2E93_.wvu.PrintArea" sId="1"/>
    <undo index="65535" exp="area" ref3D="1" dr="$A$6:$AL$529" dn="Z_84FB199A_D56E_4FDD_AC4A_70CE86CD87BC_.wvu.FilterData" sId="1"/>
    <undo index="65535" exp="area" ref3D="1" dr="$A$6:$AL$529" dn="Z_89F20599_320E_4C2A_9159_8E9F2F24F61C_.wvu.FilterData" sId="1"/>
    <undo index="65535" exp="area" ref3D="1" dr="$A$1:$AL$529" dn="Z_9EA5E3FA_46F1_4729_828C_4A08518018C1_.wvu.PrintArea" sId="1"/>
    <undo index="65535" exp="area" ref3D="1" dr="$A$6:$AL$529" dn="Z_831F7439_6937_483F_B601_184FEF5CECFD_.wvu.FilterData" sId="1"/>
    <undo index="65535" exp="area" ref3D="1" dr="$A$6:$AL$529" dn="Z_902D3CAF_0577_4A3F_A86A_C01FD8CA4695_.wvu.FilterData" sId="1"/>
    <undo index="65535" exp="area" ref3D="1" dr="$A$3:$AL$390" dn="Z_A3134A53_5204_4FFF_BA84_3528D3179C0C_.wvu.FilterData" sId="1"/>
    <undo index="65535" exp="area" ref3D="1" dr="$A$6:$AL$529" dn="Z_9F268523_731B_48FE_86AA_1A6382332A83_.wvu.FilterData" sId="1"/>
    <undo index="65535" exp="area" ref3D="1" dr="$A$1:$AL$529" dn="Z_9980B309_0131_4577_BF29_212714399FDF_.wvu.PrintArea" sId="1"/>
    <undo index="65535" exp="area" ref3D="1" dr="$A$6:$AL$529" dn="Z_97F6C5A1_2596_4037_A854_1D6AE8A1071E_.wvu.FilterData" sId="1"/>
    <undo index="65535" exp="area" ref3D="1" dr="$A$6:$AL$529" dn="Z_7D2F4374_D571_49E4_B659_129D2AFDC43C_.wvu.FilterData" sId="1"/>
    <undo index="65535" exp="area" ref3D="1" dr="$A$1:$AL$502" dn="Z_9980B309_0131_4577_BF29_212714399FDF_.wvu.FilterData" sId="1"/>
    <undo index="65535" exp="area" ref3D="1" dr="$A$1:$AL$529" dn="Z_84FB199A_D56E_4FDD_AC4A_70CE86CD87BC_.wvu.PrintArea" sId="1"/>
    <undo index="65535" exp="area" ref3D="1" dr="$A$1:$AL$529" dn="Z_A5B1481C_EF26_486A_984F_85CDDC2FD94F_.wvu.PrintArea" sId="1"/>
    <undo index="65535" exp="area" ref3D="1" dr="$A$6:$AL$529" dn="Z_AE58BCBC_9F06_4E6C_A28B_2F5626DD7C1B_.wvu.FilterData" sId="1"/>
    <undo index="65535" exp="area" ref3D="1" dr="$A$1:$AL$529" dn="Z_A87F3E0E_3A8E_4B82_8170_33752259B7DB_.wvu.PrintArea" sId="1"/>
    <undo index="65535" exp="area" ref3D="1" dr="$A$6:$AL$529" dn="Z_A87F3E0E_3A8E_4B82_8170_33752259B7DB_.wvu.FilterData" sId="1"/>
    <undo index="65535" exp="area" ref3D="1" dr="$A$6:$AL$529" dn="Z_AECBC9F6_D9DE_4043_9C2F_160F7ECDAD3D_.wvu.FilterData" sId="1"/>
    <undo index="65535" exp="area" ref3D="1" dr="$A$6:$AL$529" dn="Z_C4E44235_F714_4BCE_B2B0_F4813D3BDF91_.wvu.FilterData" sId="1"/>
    <undo index="65535" exp="area" ref3D="1" dr="$A$1:$AL$529" dn="Z_FE50EAC0_52A5_4C33_B973_65E93D03D3EA_.wvu.PrintArea" sId="1"/>
    <undo index="65535" exp="area" ref3D="1" dr="$A$6:$AL$529" dn="Z_F52D90D4_508D_43B6_8295_6D179E5F0FEB_.wvu.FilterData" sId="1"/>
    <undo index="65535" exp="area" ref3D="1" dr="$A$6:$AL$529" dn="Z_DE09B69C_7EEF_4060_8E06_F7DEC4B96D7E_.wvu.FilterData" sId="1"/>
    <undo index="65535" exp="area" ref3D="1" dr="$A$6:$AL$529" dn="Z_D802EE0F_98B9_4410_B31B_4ACC0EC9C9BC_.wvu.FilterData" sId="1"/>
    <undo index="65535" exp="area" ref3D="1" dr="$A$1:$AL$529" dn="Z_DB51BB9F_5710_40B0_80E7_39B059BFD11D_.wvu.PrintArea" sId="1"/>
    <undo index="65535" exp="area" ref3D="1" dr="$A$1:$AL$529" dn="Z_C3502361_AD2C_4705_878B_D12169ED60B1_.wvu.PrintArea" sId="1"/>
    <undo index="65535" exp="area" ref3D="1" dr="$A$1:$AL$529" dn="Z_C408A2F1_296F_4EAD_B15B_336D73846FDD_.wvu.PrintArea" sId="1"/>
    <undo index="65535" exp="area" ref3D="1" dr="$A$6:$AL$529" dn="Z_EFE45138_A2B3_46EB_8A69_D9745D73FBF5_.wvu.FilterData" sId="1"/>
    <undo index="65535" exp="area" ref3D="1" dr="$A$1:$AL$390" dn="Z_CC51448C_22F6_4583_82CD_2835AD1A82D7_.wvu.FilterData" sId="1"/>
    <undo index="65535" exp="area" ref3D="1" dr="$A$6:$AL$529" dn="Z_DB43929D_F4B7_43FF_975F_960476D189E8_.wvu.FilterData" sId="1"/>
    <undo index="65535" exp="area" ref3D="1" dr="$A$1:$AL$502" dn="Z_C408A2F1_296F_4EAD_B15B_336D73846FDD_.wvu.FilterData" sId="1"/>
    <undo index="65535" exp="area" ref3D="1" dr="$A$1:$AL$529" dn="Z_EA64E7D7_BA48_4965_B650_778AE412FE0C_.wvu.PrintArea" sId="1"/>
    <undo index="65535" exp="area" ref3D="1" dr="$A$6:$AL$529" dn="Z_CAB79FAE_AA32_4D62_A794_A6DB6513D801_.wvu.FilterData" sId="1"/>
    <undo index="65535" exp="area" ref3D="1" dr="$A$3:$AL$390" dn="Z_E64C6006_DE37_44CA_8083_01C511E323D9_.wvu.FilterData" sId="1"/>
    <undo index="65535" exp="area" ref3D="1" dr="$A$6:$AL$529" dn="Z_C3502361_AD2C_4705_878B_D12169ED60B1_.wvu.FilterData" sId="1"/>
    <undo index="65535" exp="area" ref3D="1" dr="$A$6:$AL$529" dn="Z_EF10298D_3F59_43F1_9A86_8C1CCA3B5D93_.wvu.FilterData" sId="1"/>
    <undo index="65535" exp="area" ref3D="1" dr="$A$1:$AL$529" dn="Z_EEA37434_2D22_478B_B49F_C3E8CD4AC2E1_.wvu.PrintArea" sId="1"/>
    <undo index="65535" exp="area" ref3D="1" dr="$A$1:$AL$481" dn="Z_FFC44E67_8559_4D31_893D_BF5BA4229E04_.wvu.FilterData" sId="1"/>
    <undo index="65535" exp="area" ref3D="1" dr="$A$6:$AL$529" dn="Z_DD93CA86_AFD6_4C47_828D_70472BFCD288_.wvu.FilterData" sId="1"/>
    <undo index="65535" exp="area" ref3D="1" dr="$A$1:$AL$529" dn="Z_EB0F2E6A_FA33_479E_9A47_8E3494FBB4DE_.wvu.PrintArea" sId="1"/>
    <undo index="65535" exp="area" ref3D="1" dr="$A$6:$AL$529" dn="Z_D365E121_F95E_415A_8CA0_9EA7ECCC60F5_.wvu.FilterData" sId="1"/>
    <undo index="65535" exp="area" ref3D="1" dr="$A$6:$AL$529" dn="Z_F952A18B_3430_4F65_89F2_B7C17998F981_.wvu.FilterData" sId="1"/>
    <undo index="65535" exp="area" ref3D="1" dr="$A$1:$AL$529" dn="Z_EF10298D_3F59_43F1_9A86_8C1CCA3B5D93_.wvu.PrintArea" sId="1"/>
    <undo index="65535" exp="area" ref3D="1" dr="$A$6:$AL$529" dn="Z_EB0F2E6A_FA33_479E_9A47_8E3494FBB4DE_.wvu.FilterData" sId="1"/>
    <undo index="65535" exp="area" ref3D="1" dr="$A$6:$AL$529" dn="Z_C71F80D5_B6C1_4ED9_B18D_D719D69F5A47_.wvu.FilterData" sId="1"/>
    <rfmt sheetId="1" xfDxf="1" sqref="AL1:AL1048576" start="0" length="0"/>
    <rcc rId="0" sId="1" dxf="1">
      <nc r="AL1" t="inlineStr">
        <is>
          <t>Data
Raportare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AL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AL3" t="inlineStr">
        <is>
          <t>25,01,2019</t>
        </is>
      </nc>
      <ndxf>
        <font>
          <b/>
          <sz val="12"/>
          <color auto="1"/>
          <name val="Calibri"/>
          <family val="2"/>
          <charset val="238"/>
          <scheme val="minor"/>
        </font>
        <numFmt numFmtId="19" formatCode="dd/mm/yyyy"/>
        <alignment vertical="center" wrapText="1"/>
        <border outline="0">
          <left style="thin">
            <color indexed="64"/>
          </left>
          <right style="thin">
            <color indexed="64"/>
          </right>
          <top style="thin">
            <color indexed="64"/>
          </top>
          <bottom style="thin">
            <color indexed="64"/>
          </bottom>
        </border>
      </ndxf>
    </rcc>
    <rfmt sheetId="1" sqref="AL4" start="0" length="0">
      <dxf>
        <font>
          <b/>
          <sz val="12"/>
          <color auto="1"/>
          <name val="Calibri"/>
          <family val="2"/>
          <charset val="238"/>
          <scheme val="minor"/>
        </font>
        <numFmt numFmtId="19" formatCode="dd/mm/yyyy"/>
        <alignment vertical="center" wrapText="1"/>
      </dxf>
    </rfmt>
    <rcc rId="0" sId="1" dxf="1">
      <nc r="AL5" t="inlineStr">
        <is>
          <t>Report Date</t>
        </is>
      </nc>
      <ndxf>
        <font>
          <b/>
          <sz val="12"/>
          <color auto="1"/>
          <name val="Calibri"/>
          <family val="2"/>
          <charset val="238"/>
          <scheme val="minor"/>
        </font>
        <numFmt numFmtId="19" formatCode="dd/mm/yyyy"/>
        <alignment vertical="center" wrapText="1"/>
        <border outline="0">
          <left style="thin">
            <color indexed="64"/>
          </left>
          <right style="thin">
            <color indexed="64"/>
          </right>
          <top style="thin">
            <color indexed="64"/>
          </top>
          <bottom style="thin">
            <color indexed="64"/>
          </bottom>
        </border>
      </ndxf>
    </rcc>
    <rfmt sheetId="1" sqref="AL6" start="0" length="0">
      <dxf>
        <font>
          <sz val="12"/>
          <color theme="1"/>
          <name val="Calibri"/>
          <family val="2"/>
          <charset val="238"/>
          <scheme val="minor"/>
        </font>
        <border outline="0">
          <left style="thin">
            <color indexed="64"/>
          </left>
          <right style="thin">
            <color indexed="64"/>
          </right>
          <top style="thin">
            <color indexed="64"/>
          </top>
          <bottom style="thin">
            <color indexed="64"/>
          </bottom>
        </border>
      </dxf>
    </rfmt>
    <rfmt sheetId="1" sqref="AL7" start="0" length="0">
      <dxf>
        <font>
          <sz val="12"/>
          <color theme="1"/>
          <name val="Calibri"/>
          <family val="2"/>
          <charset val="238"/>
          <scheme val="minor"/>
        </font>
      </dxf>
    </rfmt>
    <rfmt sheetId="1" sqref="AL8" start="0" length="0">
      <dxf>
        <font>
          <sz val="12"/>
          <color theme="1"/>
          <name val="Calibri"/>
          <family val="2"/>
          <charset val="238"/>
          <scheme val="minor"/>
        </font>
      </dxf>
    </rfmt>
    <rfmt sheetId="1" sqref="AL9" start="0" length="0">
      <dxf>
        <font>
          <sz val="12"/>
          <color theme="1"/>
          <name val="Calibri"/>
          <family val="2"/>
          <charset val="238"/>
          <scheme val="minor"/>
        </font>
      </dxf>
    </rfmt>
    <rfmt sheetId="1" sqref="AL10" start="0" length="0">
      <dxf>
        <font>
          <sz val="12"/>
          <color theme="1"/>
          <name val="Calibri"/>
          <family val="2"/>
          <charset val="238"/>
          <scheme val="minor"/>
        </font>
      </dxf>
    </rfmt>
    <rfmt sheetId="1" sqref="AL11" start="0" length="0">
      <dxf>
        <font>
          <sz val="12"/>
          <color theme="1"/>
          <name val="Calibri"/>
          <family val="2"/>
          <charset val="238"/>
          <scheme val="minor"/>
        </font>
      </dxf>
    </rfmt>
    <rfmt sheetId="1" sqref="AL12" start="0" length="0">
      <dxf>
        <font>
          <sz val="12"/>
          <color theme="1"/>
          <name val="Calibri"/>
          <family val="2"/>
          <charset val="238"/>
          <scheme val="minor"/>
        </font>
      </dxf>
    </rfmt>
    <rfmt sheetId="1" sqref="AL13" start="0" length="0">
      <dxf>
        <font>
          <sz val="12"/>
          <color theme="1"/>
          <name val="Calibri"/>
          <family val="2"/>
          <charset val="238"/>
          <scheme val="minor"/>
        </font>
      </dxf>
    </rfmt>
    <rfmt sheetId="1" sqref="AL14" start="0" length="0">
      <dxf>
        <font>
          <sz val="12"/>
          <color theme="1"/>
          <name val="Calibri"/>
          <family val="2"/>
          <charset val="238"/>
          <scheme val="minor"/>
        </font>
      </dxf>
    </rfmt>
    <rfmt sheetId="1" sqref="AL15" start="0" length="0">
      <dxf>
        <font>
          <sz val="12"/>
          <color theme="1"/>
          <name val="Calibri"/>
          <family val="2"/>
          <charset val="238"/>
          <scheme val="minor"/>
        </font>
      </dxf>
    </rfmt>
    <rfmt sheetId="1" sqref="AL16" start="0" length="0">
      <dxf>
        <font>
          <sz val="12"/>
          <color theme="1"/>
          <name val="Calibri"/>
          <family val="2"/>
          <charset val="238"/>
          <scheme val="minor"/>
        </font>
      </dxf>
    </rfmt>
    <rfmt sheetId="1" sqref="AL17" start="0" length="0">
      <dxf>
        <font>
          <sz val="12"/>
          <color theme="1"/>
          <name val="Calibri"/>
          <family val="2"/>
          <charset val="238"/>
          <scheme val="minor"/>
        </font>
      </dxf>
    </rfmt>
    <rfmt sheetId="1" sqref="AL18" start="0" length="0">
      <dxf>
        <font>
          <sz val="12"/>
          <color theme="1"/>
          <name val="Calibri"/>
          <family val="2"/>
          <charset val="238"/>
          <scheme val="minor"/>
        </font>
      </dxf>
    </rfmt>
    <rfmt sheetId="1" sqref="AL19" start="0" length="0">
      <dxf>
        <font>
          <sz val="12"/>
          <color theme="1"/>
          <name val="Calibri"/>
          <family val="2"/>
          <charset val="238"/>
          <scheme val="minor"/>
        </font>
      </dxf>
    </rfmt>
    <rfmt sheetId="1" sqref="AL20" start="0" length="0">
      <dxf>
        <font>
          <sz val="12"/>
          <color theme="1"/>
          <name val="Calibri"/>
          <family val="2"/>
          <charset val="238"/>
          <scheme val="minor"/>
        </font>
      </dxf>
    </rfmt>
    <rfmt sheetId="1" sqref="AL21" start="0" length="0">
      <dxf>
        <font>
          <sz val="12"/>
          <color theme="1"/>
          <name val="Calibri"/>
          <family val="2"/>
          <charset val="238"/>
          <scheme val="minor"/>
        </font>
      </dxf>
    </rfmt>
    <rfmt sheetId="1" sqref="AL22" start="0" length="0">
      <dxf>
        <font>
          <sz val="12"/>
          <color theme="1"/>
          <name val="Calibri"/>
          <family val="2"/>
          <charset val="238"/>
          <scheme val="minor"/>
        </font>
      </dxf>
    </rfmt>
    <rfmt sheetId="1" sqref="AL23" start="0" length="0">
      <dxf>
        <font>
          <sz val="12"/>
          <color theme="1"/>
          <name val="Calibri"/>
          <family val="2"/>
          <charset val="238"/>
          <scheme val="minor"/>
        </font>
      </dxf>
    </rfmt>
    <rfmt sheetId="1" sqref="AL24" start="0" length="0">
      <dxf>
        <font>
          <sz val="12"/>
          <color theme="1"/>
          <name val="Calibri"/>
          <family val="2"/>
          <charset val="238"/>
          <scheme val="minor"/>
        </font>
      </dxf>
    </rfmt>
    <rfmt sheetId="1" sqref="AL25" start="0" length="0">
      <dxf>
        <font>
          <sz val="12"/>
          <color theme="1"/>
          <name val="Calibri"/>
          <family val="2"/>
          <charset val="238"/>
          <scheme val="minor"/>
        </font>
      </dxf>
    </rfmt>
    <rfmt sheetId="1" sqref="AL26" start="0" length="0">
      <dxf>
        <font>
          <sz val="12"/>
          <color theme="1"/>
          <name val="Calibri"/>
          <family val="2"/>
          <charset val="238"/>
          <scheme val="minor"/>
        </font>
      </dxf>
    </rfmt>
    <rfmt sheetId="1" sqref="AL27" start="0" length="0">
      <dxf>
        <font>
          <sz val="12"/>
          <color theme="1"/>
          <name val="Calibri"/>
          <family val="2"/>
          <charset val="238"/>
          <scheme val="minor"/>
        </font>
      </dxf>
    </rfmt>
    <rfmt sheetId="1" sqref="AL28" start="0" length="0">
      <dxf>
        <font>
          <sz val="12"/>
          <color theme="1"/>
          <name val="Calibri"/>
          <family val="2"/>
          <charset val="238"/>
          <scheme val="minor"/>
        </font>
      </dxf>
    </rfmt>
    <rfmt sheetId="1" sqref="AL29" start="0" length="0">
      <dxf>
        <font>
          <sz val="12"/>
          <color theme="1"/>
          <name val="Calibri"/>
          <family val="2"/>
          <charset val="238"/>
          <scheme val="minor"/>
        </font>
      </dxf>
    </rfmt>
    <rfmt sheetId="1" sqref="AL30" start="0" length="0">
      <dxf>
        <font>
          <sz val="12"/>
          <color theme="1"/>
          <name val="Calibri"/>
          <family val="2"/>
          <charset val="238"/>
          <scheme val="minor"/>
        </font>
      </dxf>
    </rfmt>
    <rfmt sheetId="1" sqref="AL31" start="0" length="0">
      <dxf>
        <font>
          <sz val="12"/>
          <color theme="1"/>
          <name val="Calibri"/>
          <family val="2"/>
          <charset val="238"/>
          <scheme val="minor"/>
        </font>
      </dxf>
    </rfmt>
    <rfmt sheetId="1" sqref="AL32" start="0" length="0">
      <dxf>
        <font>
          <sz val="12"/>
          <color theme="1"/>
          <name val="Calibri"/>
          <family val="2"/>
          <charset val="238"/>
          <scheme val="minor"/>
        </font>
      </dxf>
    </rfmt>
    <rfmt sheetId="1" sqref="AL33" start="0" length="0">
      <dxf>
        <font>
          <sz val="12"/>
          <color theme="1"/>
          <name val="Calibri"/>
          <family val="2"/>
          <charset val="238"/>
          <scheme val="minor"/>
        </font>
      </dxf>
    </rfmt>
    <rfmt sheetId="1" sqref="AL34" start="0" length="0">
      <dxf>
        <font>
          <sz val="12"/>
          <color theme="1"/>
          <name val="Calibri"/>
          <family val="2"/>
          <charset val="238"/>
          <scheme val="minor"/>
        </font>
      </dxf>
    </rfmt>
    <rfmt sheetId="1" sqref="AL35" start="0" length="0">
      <dxf>
        <font>
          <sz val="12"/>
          <color theme="1"/>
          <name val="Calibri"/>
          <family val="2"/>
          <charset val="238"/>
          <scheme val="minor"/>
        </font>
      </dxf>
    </rfmt>
    <rfmt sheetId="1" sqref="AL36" start="0" length="0">
      <dxf>
        <font>
          <sz val="12"/>
          <color theme="1"/>
          <name val="Calibri"/>
          <family val="2"/>
          <charset val="238"/>
          <scheme val="minor"/>
        </font>
      </dxf>
    </rfmt>
    <rfmt sheetId="1" sqref="AL37" start="0" length="0">
      <dxf>
        <font>
          <sz val="12"/>
          <color theme="1"/>
          <name val="Calibri"/>
          <family val="2"/>
          <charset val="238"/>
          <scheme val="minor"/>
        </font>
      </dxf>
    </rfmt>
    <rfmt sheetId="1" sqref="AL38" start="0" length="0">
      <dxf>
        <font>
          <sz val="12"/>
          <color theme="1"/>
          <name val="Calibri"/>
          <family val="2"/>
          <charset val="238"/>
          <scheme val="minor"/>
        </font>
      </dxf>
    </rfmt>
    <rfmt sheetId="1" sqref="AL39" start="0" length="0">
      <dxf>
        <font>
          <sz val="12"/>
          <color theme="1"/>
          <name val="Calibri"/>
          <family val="2"/>
          <charset val="238"/>
          <scheme val="minor"/>
        </font>
      </dxf>
    </rfmt>
    <rfmt sheetId="1" sqref="AL40" start="0" length="0">
      <dxf>
        <font>
          <sz val="12"/>
          <color theme="1"/>
          <name val="Calibri"/>
          <family val="2"/>
          <charset val="238"/>
          <scheme val="minor"/>
        </font>
      </dxf>
    </rfmt>
    <rfmt sheetId="1" sqref="AL41" start="0" length="0">
      <dxf>
        <font>
          <sz val="12"/>
          <color theme="1"/>
          <name val="Calibri"/>
          <family val="2"/>
          <charset val="238"/>
          <scheme val="minor"/>
        </font>
      </dxf>
    </rfmt>
    <rfmt sheetId="1" sqref="AL42" start="0" length="0">
      <dxf>
        <font>
          <sz val="12"/>
          <color theme="1"/>
          <name val="Calibri"/>
          <family val="2"/>
          <charset val="238"/>
          <scheme val="minor"/>
        </font>
      </dxf>
    </rfmt>
    <rfmt sheetId="1" sqref="AL43" start="0" length="0">
      <dxf>
        <font>
          <sz val="12"/>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45" start="0" length="0">
      <dxf>
        <font>
          <sz val="12"/>
          <color theme="1"/>
          <name val="Calibri"/>
          <family val="2"/>
          <charset val="238"/>
          <scheme val="minor"/>
        </font>
      </dxf>
    </rfmt>
    <rfmt sheetId="1" sqref="AL46" start="0" length="0">
      <dxf>
        <font>
          <sz val="12"/>
          <color theme="1"/>
          <name val="Calibri"/>
          <family val="2"/>
          <charset val="238"/>
          <scheme val="minor"/>
        </font>
      </dxf>
    </rfmt>
    <rfmt sheetId="1" sqref="AL47" start="0" length="0">
      <dxf>
        <font>
          <sz val="12"/>
          <color theme="1"/>
          <name val="Calibri"/>
          <family val="2"/>
          <charset val="238"/>
          <scheme val="minor"/>
        </font>
      </dxf>
    </rfmt>
    <rfmt sheetId="1" sqref="AL48" start="0" length="0">
      <dxf>
        <font>
          <sz val="12"/>
          <color theme="1"/>
          <name val="Calibri"/>
          <family val="2"/>
          <charset val="238"/>
          <scheme val="minor"/>
        </font>
      </dxf>
    </rfmt>
    <rfmt sheetId="1" sqref="AL49" start="0" length="0">
      <dxf>
        <font>
          <sz val="12"/>
          <color theme="1"/>
          <name val="Calibri"/>
          <family val="2"/>
          <charset val="238"/>
          <scheme val="minor"/>
        </font>
      </dxf>
    </rfmt>
    <rfmt sheetId="1" sqref="AL50" start="0" length="0">
      <dxf>
        <font>
          <sz val="12"/>
          <color theme="1"/>
          <name val="Calibri"/>
          <family val="2"/>
          <charset val="238"/>
          <scheme val="minor"/>
        </font>
      </dxf>
    </rfmt>
    <rfmt sheetId="1" sqref="AL51" start="0" length="0">
      <dxf>
        <font>
          <sz val="12"/>
          <color theme="1"/>
          <name val="Calibri"/>
          <family val="2"/>
          <charset val="238"/>
          <scheme val="minor"/>
        </font>
      </dxf>
    </rfmt>
    <rfmt sheetId="1" sqref="AL52" start="0" length="0">
      <dxf>
        <font>
          <sz val="12"/>
          <color theme="1"/>
          <name val="Calibri"/>
          <family val="2"/>
          <charset val="238"/>
          <scheme val="minor"/>
        </font>
      </dxf>
    </rfmt>
    <rfmt sheetId="1" sqref="AL53" start="0" length="0">
      <dxf>
        <font>
          <sz val="12"/>
          <color theme="1"/>
          <name val="Calibri"/>
          <family val="2"/>
          <charset val="238"/>
          <scheme val="minor"/>
        </font>
      </dxf>
    </rfmt>
    <rfmt sheetId="1" sqref="AL54" start="0" length="0">
      <dxf>
        <font>
          <sz val="12"/>
          <color theme="1"/>
          <name val="Calibri"/>
          <family val="2"/>
          <charset val="238"/>
          <scheme val="minor"/>
        </font>
      </dxf>
    </rfmt>
    <rfmt sheetId="1" sqref="AL55" start="0" length="0">
      <dxf>
        <font>
          <sz val="12"/>
          <color theme="1"/>
          <name val="Calibri"/>
          <family val="2"/>
          <charset val="238"/>
          <scheme val="minor"/>
        </font>
      </dxf>
    </rfmt>
    <rfmt sheetId="1" sqref="AL56" start="0" length="0">
      <dxf>
        <font>
          <sz val="12"/>
          <color theme="1"/>
          <name val="Calibri"/>
          <family val="2"/>
          <charset val="238"/>
          <scheme val="minor"/>
        </font>
      </dxf>
    </rfmt>
    <rfmt sheetId="1" sqref="AL57" start="0" length="0">
      <dxf>
        <font>
          <sz val="12"/>
          <color theme="1"/>
          <name val="Calibri"/>
          <family val="2"/>
          <charset val="238"/>
          <scheme val="minor"/>
        </font>
      </dxf>
    </rfmt>
    <rfmt sheetId="1" sqref="AL58" start="0" length="0">
      <dxf>
        <font>
          <sz val="12"/>
          <color theme="1"/>
          <name val="Calibri"/>
          <family val="2"/>
          <charset val="238"/>
          <scheme val="minor"/>
        </font>
      </dxf>
    </rfmt>
    <rfmt sheetId="1" sqref="AL59" start="0" length="0">
      <dxf>
        <font>
          <sz val="12"/>
          <color theme="1"/>
          <name val="Calibri"/>
          <family val="2"/>
          <charset val="238"/>
          <scheme val="minor"/>
        </font>
      </dxf>
    </rfmt>
    <rfmt sheetId="1" sqref="AL60" start="0" length="0">
      <dxf>
        <font>
          <sz val="12"/>
          <color theme="1"/>
          <name val="Calibri"/>
          <family val="2"/>
          <charset val="238"/>
          <scheme val="minor"/>
        </font>
      </dxf>
    </rfmt>
    <rfmt sheetId="1" sqref="AL61" start="0" length="0">
      <dxf>
        <font>
          <sz val="12"/>
          <color theme="1"/>
          <name val="Calibri"/>
          <family val="2"/>
          <charset val="238"/>
          <scheme val="minor"/>
        </font>
      </dxf>
    </rfmt>
    <rfmt sheetId="1" sqref="AL62" start="0" length="0">
      <dxf>
        <font>
          <sz val="12"/>
          <color theme="1"/>
          <name val="Calibri"/>
          <family val="2"/>
          <charset val="238"/>
          <scheme val="minor"/>
        </font>
      </dxf>
    </rfmt>
    <rfmt sheetId="1" sqref="AL63" start="0" length="0">
      <dxf>
        <font>
          <sz val="12"/>
          <color theme="1"/>
          <name val="Calibri"/>
          <family val="2"/>
          <charset val="238"/>
          <scheme val="minor"/>
        </font>
      </dxf>
    </rfmt>
    <rfmt sheetId="1" sqref="AL64" start="0" length="0">
      <dxf>
        <font>
          <sz val="12"/>
          <color theme="1"/>
          <name val="Calibri"/>
          <family val="2"/>
          <charset val="238"/>
          <scheme val="minor"/>
        </font>
      </dxf>
    </rfmt>
    <rfmt sheetId="1" sqref="AL65" start="0" length="0">
      <dxf>
        <font>
          <sz val="12"/>
          <color theme="1"/>
          <name val="Calibri"/>
          <family val="2"/>
          <charset val="238"/>
          <scheme val="minor"/>
        </font>
      </dxf>
    </rfmt>
    <rfmt sheetId="1" sqref="AL66" start="0" length="0">
      <dxf>
        <font>
          <sz val="12"/>
          <color theme="1"/>
          <name val="Calibri"/>
          <family val="2"/>
          <charset val="238"/>
          <scheme val="minor"/>
        </font>
      </dxf>
    </rfmt>
    <rfmt sheetId="1" sqref="AL67" start="0" length="0">
      <dxf>
        <font>
          <sz val="12"/>
          <color theme="1"/>
          <name val="Calibri"/>
          <family val="2"/>
          <charset val="238"/>
          <scheme val="minor"/>
        </font>
      </dxf>
    </rfmt>
    <rfmt sheetId="1" sqref="AL68" start="0" length="0">
      <dxf>
        <font>
          <sz val="12"/>
          <color theme="1"/>
          <name val="Calibri"/>
          <family val="2"/>
          <charset val="238"/>
          <scheme val="minor"/>
        </font>
      </dxf>
    </rfmt>
    <rfmt sheetId="1" sqref="AL69" start="0" length="0">
      <dxf>
        <font>
          <sz val="12"/>
          <color theme="1"/>
          <name val="Calibri"/>
          <family val="2"/>
          <charset val="238"/>
          <scheme val="minor"/>
        </font>
      </dxf>
    </rfmt>
    <rfmt sheetId="1" sqref="AL70" start="0" length="0">
      <dxf>
        <font>
          <sz val="12"/>
          <color theme="1"/>
          <name val="Calibri"/>
          <family val="2"/>
          <charset val="238"/>
          <scheme val="minor"/>
        </font>
      </dxf>
    </rfmt>
    <rfmt sheetId="1" sqref="AL71" start="0" length="0">
      <dxf>
        <font>
          <sz val="12"/>
          <color theme="1"/>
          <name val="Calibri"/>
          <family val="2"/>
          <charset val="238"/>
          <scheme val="minor"/>
        </font>
      </dxf>
    </rfmt>
    <rfmt sheetId="1" sqref="AL72" start="0" length="0">
      <dxf>
        <font>
          <sz val="12"/>
          <color theme="1"/>
          <name val="Calibri"/>
          <family val="2"/>
          <charset val="238"/>
          <scheme val="minor"/>
        </font>
      </dxf>
    </rfmt>
    <rfmt sheetId="1" sqref="AL73" start="0" length="0">
      <dxf>
        <font>
          <sz val="12"/>
          <color theme="1"/>
          <name val="Calibri"/>
          <family val="2"/>
          <charset val="238"/>
          <scheme val="minor"/>
        </font>
      </dxf>
    </rfmt>
    <rfmt sheetId="1" sqref="AL74" start="0" length="0">
      <dxf>
        <font>
          <sz val="12"/>
          <color theme="1"/>
          <name val="Calibri"/>
          <family val="2"/>
          <charset val="238"/>
          <scheme val="minor"/>
        </font>
      </dxf>
    </rfmt>
    <rfmt sheetId="1" sqref="AL75" start="0" length="0">
      <dxf>
        <font>
          <sz val="12"/>
          <color theme="1"/>
          <name val="Calibri"/>
          <family val="2"/>
          <charset val="238"/>
          <scheme val="minor"/>
        </font>
      </dxf>
    </rfmt>
    <rfmt sheetId="1" sqref="AL76" start="0" length="0">
      <dxf>
        <font>
          <sz val="12"/>
          <color theme="1"/>
          <name val="Calibri"/>
          <family val="2"/>
          <charset val="238"/>
          <scheme val="minor"/>
        </font>
      </dxf>
    </rfmt>
    <rfmt sheetId="1" sqref="AL77" start="0" length="0">
      <dxf>
        <font>
          <sz val="12"/>
          <color theme="1"/>
          <name val="Calibri"/>
          <family val="2"/>
          <charset val="238"/>
          <scheme val="minor"/>
        </font>
      </dxf>
    </rfmt>
    <rfmt sheetId="1" sqref="AL78" start="0" length="0">
      <dxf>
        <font>
          <sz val="12"/>
          <color theme="1"/>
          <name val="Calibri"/>
          <family val="2"/>
          <charset val="238"/>
          <scheme val="minor"/>
        </font>
      </dxf>
    </rfmt>
    <rfmt sheetId="1" sqref="AL79" start="0" length="0">
      <dxf>
        <font>
          <sz val="12"/>
          <color theme="1"/>
          <name val="Calibri"/>
          <family val="2"/>
          <charset val="238"/>
          <scheme val="minor"/>
        </font>
      </dxf>
    </rfmt>
    <rfmt sheetId="1" sqref="AL80" start="0" length="0">
      <dxf>
        <font>
          <sz val="12"/>
          <color theme="1"/>
          <name val="Calibri"/>
          <family val="2"/>
          <charset val="238"/>
          <scheme val="minor"/>
        </font>
      </dxf>
    </rfmt>
    <rfmt sheetId="1" sqref="AL81" start="0" length="0">
      <dxf>
        <font>
          <sz val="12"/>
          <color theme="1"/>
          <name val="Calibri"/>
          <family val="2"/>
          <charset val="238"/>
          <scheme val="minor"/>
        </font>
      </dxf>
    </rfmt>
    <rfmt sheetId="1" sqref="AL82" start="0" length="0">
      <dxf>
        <font>
          <sz val="12"/>
          <color theme="1"/>
          <name val="Calibri"/>
          <family val="2"/>
          <charset val="238"/>
          <scheme val="minor"/>
        </font>
      </dxf>
    </rfmt>
    <rfmt sheetId="1" sqref="AL83" start="0" length="0">
      <dxf>
        <font>
          <sz val="12"/>
          <color theme="1"/>
          <name val="Calibri"/>
          <family val="2"/>
          <charset val="238"/>
          <scheme val="minor"/>
        </font>
      </dxf>
    </rfmt>
    <rfmt sheetId="1" sqref="AL84" start="0" length="0">
      <dxf>
        <font>
          <sz val="12"/>
          <color theme="1"/>
          <name val="Calibri"/>
          <family val="2"/>
          <charset val="238"/>
          <scheme val="minor"/>
        </font>
      </dxf>
    </rfmt>
    <rfmt sheetId="1" sqref="AL85" start="0" length="0">
      <dxf>
        <font>
          <sz val="12"/>
          <color theme="1"/>
          <name val="Calibri"/>
          <family val="2"/>
          <charset val="238"/>
          <scheme val="minor"/>
        </font>
      </dxf>
    </rfmt>
    <rfmt sheetId="1" sqref="AL86" start="0" length="0">
      <dxf>
        <font>
          <sz val="12"/>
          <color theme="1"/>
          <name val="Calibri"/>
          <family val="2"/>
          <charset val="238"/>
          <scheme val="minor"/>
        </font>
      </dxf>
    </rfmt>
    <rfmt sheetId="1" sqref="AL87" start="0" length="0">
      <dxf>
        <font>
          <sz val="12"/>
          <color theme="1"/>
          <name val="Calibri"/>
          <family val="2"/>
          <charset val="238"/>
          <scheme val="minor"/>
        </font>
      </dxf>
    </rfmt>
    <rfmt sheetId="1" sqref="AL88" start="0" length="0">
      <dxf>
        <font>
          <sz val="12"/>
          <color theme="1"/>
          <name val="Calibri"/>
          <family val="2"/>
          <charset val="238"/>
          <scheme val="minor"/>
        </font>
      </dxf>
    </rfmt>
    <rfmt sheetId="1" sqref="AL89" start="0" length="0">
      <dxf>
        <font>
          <sz val="12"/>
          <color theme="1"/>
          <name val="Calibri"/>
          <family val="2"/>
          <charset val="238"/>
          <scheme val="minor"/>
        </font>
      </dxf>
    </rfmt>
    <rfmt sheetId="1" sqref="AL90" start="0" length="0">
      <dxf>
        <font>
          <sz val="12"/>
          <color theme="1"/>
          <name val="Calibri"/>
          <family val="2"/>
          <charset val="238"/>
          <scheme val="minor"/>
        </font>
      </dxf>
    </rfmt>
    <rfmt sheetId="1" sqref="AL91" start="0" length="0">
      <dxf>
        <font>
          <sz val="12"/>
          <color theme="1"/>
          <name val="Calibri"/>
          <family val="2"/>
          <charset val="238"/>
          <scheme val="minor"/>
        </font>
      </dxf>
    </rfmt>
    <rfmt sheetId="1" sqref="AL92" start="0" length="0">
      <dxf>
        <font>
          <sz val="12"/>
          <color theme="1"/>
          <name val="Calibri"/>
          <family val="2"/>
          <charset val="238"/>
          <scheme val="minor"/>
        </font>
      </dxf>
    </rfmt>
    <rfmt sheetId="1" sqref="AL93" start="0" length="0">
      <dxf>
        <font>
          <sz val="12"/>
          <color theme="1"/>
          <name val="Calibri"/>
          <family val="2"/>
          <charset val="238"/>
          <scheme val="minor"/>
        </font>
      </dxf>
    </rfmt>
    <rfmt sheetId="1" sqref="AL94" start="0" length="0">
      <dxf>
        <font>
          <sz val="12"/>
          <color theme="1"/>
          <name val="Calibri"/>
          <family val="2"/>
          <charset val="238"/>
          <scheme val="minor"/>
        </font>
      </dxf>
    </rfmt>
    <rfmt sheetId="1" sqref="AL95" start="0" length="0">
      <dxf>
        <font>
          <sz val="12"/>
          <color theme="1"/>
          <name val="Calibri"/>
          <family val="2"/>
          <charset val="238"/>
          <scheme val="minor"/>
        </font>
      </dxf>
    </rfmt>
    <rfmt sheetId="1" sqref="AL96" start="0" length="0">
      <dxf>
        <font>
          <sz val="12"/>
          <color theme="1"/>
          <name val="Calibri"/>
          <family val="2"/>
          <charset val="238"/>
          <scheme val="minor"/>
        </font>
      </dxf>
    </rfmt>
    <rfmt sheetId="1" sqref="AL97" start="0" length="0">
      <dxf>
        <font>
          <sz val="12"/>
          <color theme="1"/>
          <name val="Calibri"/>
          <family val="2"/>
          <charset val="238"/>
          <scheme val="minor"/>
        </font>
      </dxf>
    </rfmt>
    <rfmt sheetId="1" sqref="AL98" start="0" length="0">
      <dxf>
        <font>
          <sz val="12"/>
          <color theme="1"/>
          <name val="Calibri"/>
          <family val="2"/>
          <charset val="238"/>
          <scheme val="minor"/>
        </font>
      </dxf>
    </rfmt>
    <rfmt sheetId="1" sqref="AL99" start="0" length="0">
      <dxf>
        <font>
          <sz val="12"/>
          <color theme="1"/>
          <name val="Calibri"/>
          <family val="2"/>
          <charset val="238"/>
          <scheme val="minor"/>
        </font>
      </dxf>
    </rfmt>
    <rfmt sheetId="1" sqref="AL100" start="0" length="0">
      <dxf>
        <font>
          <sz val="12"/>
          <color theme="1"/>
          <name val="Calibri"/>
          <family val="2"/>
          <charset val="238"/>
          <scheme val="minor"/>
        </font>
      </dxf>
    </rfmt>
    <rfmt sheetId="1" sqref="AL101" start="0" length="0">
      <dxf>
        <font>
          <sz val="12"/>
          <color theme="1"/>
          <name val="Calibri"/>
          <family val="2"/>
          <charset val="238"/>
          <scheme val="minor"/>
        </font>
      </dxf>
    </rfmt>
    <rfmt sheetId="1" sqref="AL102" start="0" length="0">
      <dxf>
        <font>
          <sz val="12"/>
          <color theme="1"/>
          <name val="Calibri"/>
          <family val="2"/>
          <charset val="238"/>
          <scheme val="minor"/>
        </font>
      </dxf>
    </rfmt>
    <rfmt sheetId="1" sqref="AL103" start="0" length="0">
      <dxf>
        <font>
          <sz val="12"/>
          <color theme="1"/>
          <name val="Calibri"/>
          <family val="2"/>
          <charset val="238"/>
          <scheme val="minor"/>
        </font>
      </dxf>
    </rfmt>
    <rfmt sheetId="1" sqref="AL104" start="0" length="0">
      <dxf>
        <font>
          <sz val="12"/>
          <color theme="1"/>
          <name val="Calibri"/>
          <family val="2"/>
          <charset val="238"/>
          <scheme val="minor"/>
        </font>
      </dxf>
    </rfmt>
    <rfmt sheetId="1" sqref="AL105" start="0" length="0">
      <dxf>
        <font>
          <sz val="12"/>
          <color theme="1"/>
          <name val="Calibri"/>
          <family val="2"/>
          <charset val="238"/>
          <scheme val="minor"/>
        </font>
      </dxf>
    </rfmt>
    <rfmt sheetId="1" sqref="AL106" start="0" length="0">
      <dxf>
        <font>
          <sz val="12"/>
          <color theme="1"/>
          <name val="Calibri"/>
          <family val="2"/>
          <charset val="238"/>
          <scheme val="minor"/>
        </font>
      </dxf>
    </rfmt>
    <rfmt sheetId="1" sqref="AL107" start="0" length="0">
      <dxf>
        <font>
          <sz val="12"/>
          <color theme="1"/>
          <name val="Calibri"/>
          <family val="2"/>
          <charset val="238"/>
          <scheme val="minor"/>
        </font>
      </dxf>
    </rfmt>
    <rfmt sheetId="1" sqref="AL108" start="0" length="0">
      <dxf>
        <font>
          <sz val="12"/>
          <color theme="1"/>
          <name val="Calibri"/>
          <family val="2"/>
          <charset val="238"/>
          <scheme val="minor"/>
        </font>
      </dxf>
    </rfmt>
    <rfmt sheetId="1" sqref="AL109" start="0" length="0">
      <dxf>
        <font>
          <sz val="12"/>
          <color theme="1"/>
          <name val="Calibri"/>
          <family val="2"/>
          <charset val="238"/>
          <scheme val="minor"/>
        </font>
      </dxf>
    </rfmt>
    <rfmt sheetId="1" sqref="AL110" start="0" length="0">
      <dxf>
        <font>
          <sz val="12"/>
          <color theme="1"/>
          <name val="Calibri"/>
          <family val="2"/>
          <charset val="238"/>
          <scheme val="minor"/>
        </font>
      </dxf>
    </rfmt>
    <rfmt sheetId="1" sqref="AL111" start="0" length="0">
      <dxf>
        <font>
          <sz val="12"/>
          <color theme="1"/>
          <name val="Calibri"/>
          <family val="2"/>
          <charset val="238"/>
          <scheme val="minor"/>
        </font>
      </dxf>
    </rfmt>
    <rfmt sheetId="1" sqref="AL112" start="0" length="0">
      <dxf>
        <font>
          <sz val="12"/>
          <color theme="1"/>
          <name val="Calibri"/>
          <family val="2"/>
          <charset val="238"/>
          <scheme val="minor"/>
        </font>
      </dxf>
    </rfmt>
    <rfmt sheetId="1" sqref="AL113" start="0" length="0">
      <dxf>
        <font>
          <sz val="12"/>
          <color theme="1"/>
          <name val="Calibri"/>
          <family val="2"/>
          <charset val="238"/>
          <scheme val="minor"/>
        </font>
      </dxf>
    </rfmt>
    <rfmt sheetId="1" sqref="AL114" start="0" length="0">
      <dxf>
        <font>
          <sz val="12"/>
          <color theme="1"/>
          <name val="Calibri"/>
          <family val="2"/>
          <charset val="238"/>
          <scheme val="minor"/>
        </font>
      </dxf>
    </rfmt>
    <rfmt sheetId="1" sqref="AL115" start="0" length="0">
      <dxf>
        <font>
          <sz val="12"/>
          <color theme="1"/>
          <name val="Calibri"/>
          <family val="2"/>
          <charset val="238"/>
          <scheme val="minor"/>
        </font>
      </dxf>
    </rfmt>
    <rfmt sheetId="1" sqref="AL116" start="0" length="0">
      <dxf>
        <font>
          <sz val="12"/>
          <color theme="1"/>
          <name val="Calibri"/>
          <family val="2"/>
          <charset val="238"/>
          <scheme val="minor"/>
        </font>
      </dxf>
    </rfmt>
    <rfmt sheetId="1" sqref="AL117" start="0" length="0">
      <dxf>
        <font>
          <sz val="12"/>
          <color theme="1"/>
          <name val="Calibri"/>
          <family val="2"/>
          <charset val="238"/>
          <scheme val="minor"/>
        </font>
      </dxf>
    </rfmt>
    <rfmt sheetId="1" sqref="AL118" start="0" length="0">
      <dxf>
        <font>
          <sz val="12"/>
          <color theme="1"/>
          <name val="Calibri"/>
          <family val="2"/>
          <charset val="238"/>
          <scheme val="minor"/>
        </font>
      </dxf>
    </rfmt>
    <rfmt sheetId="1" sqref="AL119" start="0" length="0">
      <dxf>
        <font>
          <sz val="12"/>
          <color theme="1"/>
          <name val="Calibri"/>
          <family val="2"/>
          <charset val="238"/>
          <scheme val="minor"/>
        </font>
      </dxf>
    </rfmt>
    <rfmt sheetId="1" sqref="AL120" start="0" length="0">
      <dxf>
        <font>
          <sz val="12"/>
          <color theme="1"/>
          <name val="Calibri"/>
          <family val="2"/>
          <charset val="238"/>
          <scheme val="minor"/>
        </font>
      </dxf>
    </rfmt>
    <rfmt sheetId="1" sqref="AL121" start="0" length="0">
      <dxf>
        <font>
          <sz val="12"/>
          <color theme="1"/>
          <name val="Calibri"/>
          <family val="2"/>
          <charset val="238"/>
          <scheme val="minor"/>
        </font>
      </dxf>
    </rfmt>
    <rfmt sheetId="1" sqref="AL122" start="0" length="0">
      <dxf>
        <font>
          <sz val="12"/>
          <color theme="1"/>
          <name val="Calibri"/>
          <family val="2"/>
          <charset val="238"/>
          <scheme val="minor"/>
        </font>
      </dxf>
    </rfmt>
    <rfmt sheetId="1" sqref="AL123" start="0" length="0">
      <dxf>
        <font>
          <sz val="12"/>
          <color theme="1"/>
          <name val="Calibri"/>
          <family val="2"/>
          <charset val="238"/>
          <scheme val="minor"/>
        </font>
      </dxf>
    </rfmt>
    <rfmt sheetId="1" sqref="AL124" start="0" length="0">
      <dxf>
        <font>
          <sz val="12"/>
          <color theme="1"/>
          <name val="Calibri"/>
          <family val="2"/>
          <charset val="238"/>
          <scheme val="minor"/>
        </font>
      </dxf>
    </rfmt>
    <rfmt sheetId="1" sqref="AL125" start="0" length="0">
      <dxf>
        <font>
          <sz val="12"/>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27" start="0" length="0">
      <dxf>
        <font>
          <sz val="12"/>
          <color theme="1"/>
          <name val="Calibri"/>
          <family val="2"/>
          <charset val="238"/>
          <scheme val="minor"/>
        </font>
      </dxf>
    </rfmt>
    <rfmt sheetId="1" sqref="AL128" start="0" length="0">
      <dxf>
        <font>
          <sz val="12"/>
          <color theme="1"/>
          <name val="Calibri"/>
          <family val="2"/>
          <charset val="238"/>
          <scheme val="minor"/>
        </font>
      </dxf>
    </rfmt>
    <rfmt sheetId="1" sqref="AL129" start="0" length="0">
      <dxf>
        <font>
          <sz val="12"/>
          <color theme="1"/>
          <name val="Calibri"/>
          <family val="2"/>
          <charset val="238"/>
          <scheme val="minor"/>
        </font>
      </dxf>
    </rfmt>
    <rfmt sheetId="1" sqref="AL130" start="0" length="0">
      <dxf>
        <font>
          <sz val="12"/>
          <color theme="1"/>
          <name val="Calibri"/>
          <family val="2"/>
          <charset val="238"/>
          <scheme val="minor"/>
        </font>
      </dxf>
    </rfmt>
    <rfmt sheetId="1" sqref="AL131" start="0" length="0">
      <dxf>
        <font>
          <sz val="12"/>
          <color theme="1"/>
          <name val="Calibri"/>
          <family val="2"/>
          <charset val="238"/>
          <scheme val="minor"/>
        </font>
      </dxf>
    </rfmt>
    <rfmt sheetId="1" sqref="AL132" start="0" length="0">
      <dxf>
        <font>
          <sz val="12"/>
          <color theme="1"/>
          <name val="Calibri"/>
          <family val="2"/>
          <charset val="238"/>
          <scheme val="minor"/>
        </font>
      </dxf>
    </rfmt>
    <rfmt sheetId="1" sqref="AL133" start="0" length="0">
      <dxf>
        <font>
          <sz val="12"/>
          <color theme="1"/>
          <name val="Calibri"/>
          <family val="2"/>
          <charset val="238"/>
          <scheme val="minor"/>
        </font>
      </dxf>
    </rfmt>
    <rfmt sheetId="1" sqref="AL134" start="0" length="0">
      <dxf>
        <font>
          <sz val="12"/>
          <color theme="1"/>
          <name val="Calibri"/>
          <family val="2"/>
          <charset val="238"/>
          <scheme val="minor"/>
        </font>
      </dxf>
    </rfmt>
    <rfmt sheetId="1" sqref="AL135" start="0" length="0">
      <dxf>
        <font>
          <sz val="12"/>
          <color theme="1"/>
          <name val="Calibri"/>
          <family val="2"/>
          <charset val="238"/>
          <scheme val="minor"/>
        </font>
      </dxf>
    </rfmt>
    <rfmt sheetId="1" sqref="AL136" start="0" length="0">
      <dxf>
        <font>
          <sz val="12"/>
          <color theme="1"/>
          <name val="Calibri"/>
          <family val="2"/>
          <charset val="238"/>
          <scheme val="minor"/>
        </font>
      </dxf>
    </rfmt>
    <rfmt sheetId="1" sqref="AL137" start="0" length="0">
      <dxf>
        <font>
          <sz val="12"/>
          <color theme="1"/>
          <name val="Calibri"/>
          <family val="2"/>
          <charset val="238"/>
          <scheme val="minor"/>
        </font>
      </dxf>
    </rfmt>
    <rfmt sheetId="1" sqref="AL138" start="0" length="0">
      <dxf>
        <font>
          <sz val="12"/>
          <color theme="1"/>
          <name val="Calibri"/>
          <family val="2"/>
          <charset val="238"/>
          <scheme val="minor"/>
        </font>
      </dxf>
    </rfmt>
    <rfmt sheetId="1" sqref="AL139" start="0" length="0">
      <dxf>
        <font>
          <sz val="12"/>
          <color theme="1"/>
          <name val="Calibri"/>
          <family val="2"/>
          <charset val="238"/>
          <scheme val="minor"/>
        </font>
        <numFmt numFmtId="4" formatCode="#,##0.00"/>
      </dxf>
    </rfmt>
    <rfmt sheetId="1" sqref="AL140" start="0" length="0">
      <dxf>
        <font>
          <sz val="12"/>
          <color theme="1"/>
          <name val="Calibri"/>
          <family val="2"/>
          <charset val="238"/>
          <scheme val="minor"/>
        </font>
        <numFmt numFmtId="4" formatCode="#,##0.00"/>
      </dxf>
    </rfmt>
    <rfmt sheetId="1" sqref="AL141" start="0" length="0">
      <dxf>
        <font>
          <sz val="12"/>
          <color theme="1"/>
          <name val="Calibri"/>
          <family val="2"/>
          <charset val="238"/>
          <scheme val="minor"/>
        </font>
        <numFmt numFmtId="4" formatCode="#,##0.00"/>
      </dxf>
    </rfmt>
    <rfmt sheetId="1" sqref="AL142" start="0" length="0">
      <dxf>
        <font>
          <sz val="12"/>
          <color theme="1"/>
          <name val="Calibri"/>
          <family val="2"/>
          <charset val="238"/>
          <scheme val="minor"/>
        </font>
        <numFmt numFmtId="4" formatCode="#,##0.00"/>
      </dxf>
    </rfmt>
    <rfmt sheetId="1" sqref="AL143" start="0" length="0">
      <dxf>
        <font>
          <sz val="12"/>
          <color theme="1"/>
          <name val="Calibri"/>
          <family val="2"/>
          <charset val="238"/>
          <scheme val="minor"/>
        </font>
        <numFmt numFmtId="4" formatCode="#,##0.00"/>
      </dxf>
    </rfmt>
    <rfmt sheetId="1" sqref="AL144" start="0" length="0">
      <dxf>
        <font>
          <sz val="12"/>
          <color theme="1"/>
          <name val="Calibri"/>
          <family val="2"/>
          <charset val="238"/>
          <scheme val="minor"/>
        </font>
        <numFmt numFmtId="4" formatCode="#,##0.00"/>
      </dxf>
    </rfmt>
    <rfmt sheetId="1" sqref="AL145" start="0" length="0">
      <dxf>
        <font>
          <sz val="12"/>
          <color theme="1"/>
          <name val="Calibri"/>
          <family val="2"/>
          <charset val="238"/>
          <scheme val="minor"/>
        </font>
      </dxf>
    </rfmt>
    <rfmt sheetId="1" sqref="AL146" start="0" length="0">
      <dxf>
        <font>
          <sz val="12"/>
          <color theme="1"/>
          <name val="Calibri"/>
          <family val="2"/>
          <charset val="238"/>
          <scheme val="minor"/>
        </font>
      </dxf>
    </rfmt>
    <rfmt sheetId="1" sqref="AL147" start="0" length="0">
      <dxf>
        <font>
          <sz val="12"/>
          <color theme="1"/>
          <name val="Calibri"/>
          <family val="2"/>
          <charset val="238"/>
          <scheme val="minor"/>
        </font>
      </dxf>
    </rfmt>
    <rfmt sheetId="1" sqref="AL148" start="0" length="0">
      <dxf>
        <font>
          <sz val="12"/>
          <color theme="1"/>
          <name val="Calibri"/>
          <family val="2"/>
          <charset val="238"/>
          <scheme val="minor"/>
        </font>
      </dxf>
    </rfmt>
    <rfmt sheetId="1" sqref="AL149" start="0" length="0">
      <dxf>
        <font>
          <sz val="12"/>
          <color theme="1"/>
          <name val="Calibri"/>
          <family val="2"/>
          <charset val="238"/>
          <scheme val="minor"/>
        </font>
      </dxf>
    </rfmt>
    <rfmt sheetId="1" sqref="AL150" start="0" length="0">
      <dxf>
        <font>
          <sz val="12"/>
          <color theme="1"/>
          <name val="Calibri"/>
          <family val="2"/>
          <charset val="238"/>
          <scheme val="minor"/>
        </font>
      </dxf>
    </rfmt>
    <rfmt sheetId="1" sqref="AL151" start="0" length="0">
      <dxf>
        <font>
          <sz val="12"/>
          <color theme="1"/>
          <name val="Calibri"/>
          <family val="2"/>
          <charset val="238"/>
          <scheme val="minor"/>
        </font>
      </dxf>
    </rfmt>
    <rfmt sheetId="1" sqref="AL152" start="0" length="0">
      <dxf>
        <font>
          <sz val="12"/>
          <color theme="1"/>
          <name val="Calibri"/>
          <family val="2"/>
          <charset val="238"/>
          <scheme val="minor"/>
        </font>
      </dxf>
    </rfmt>
    <rfmt sheetId="1" sqref="AL153" start="0" length="0">
      <dxf>
        <font>
          <sz val="12"/>
          <color theme="1"/>
          <name val="Calibri"/>
          <family val="2"/>
          <charset val="238"/>
          <scheme val="minor"/>
        </font>
      </dxf>
    </rfmt>
    <rfmt sheetId="1" sqref="AL154" start="0" length="0">
      <dxf>
        <font>
          <sz val="12"/>
          <color theme="1"/>
          <name val="Calibri"/>
          <family val="2"/>
          <charset val="238"/>
          <scheme val="minor"/>
        </font>
      </dxf>
    </rfmt>
    <rfmt sheetId="1" sqref="AL155" start="0" length="0">
      <dxf>
        <font>
          <sz val="12"/>
          <color theme="1"/>
          <name val="Calibri"/>
          <family val="2"/>
          <charset val="238"/>
          <scheme val="minor"/>
        </font>
      </dxf>
    </rfmt>
    <rfmt sheetId="1" sqref="AL156" start="0" length="0">
      <dxf>
        <font>
          <sz val="12"/>
          <color theme="1"/>
          <name val="Calibri"/>
          <family val="2"/>
          <charset val="238"/>
          <scheme val="minor"/>
        </font>
      </dxf>
    </rfmt>
    <rfmt sheetId="1" sqref="AL157" start="0" length="0">
      <dxf>
        <font>
          <sz val="12"/>
          <color theme="1"/>
          <name val="Calibri"/>
          <family val="2"/>
          <charset val="238"/>
          <scheme val="minor"/>
        </font>
      </dxf>
    </rfmt>
    <rfmt sheetId="1" sqref="AL158" start="0" length="0">
      <dxf>
        <font>
          <sz val="12"/>
          <color theme="1"/>
          <name val="Calibri"/>
          <family val="2"/>
          <charset val="238"/>
          <scheme val="minor"/>
        </font>
      </dxf>
    </rfmt>
    <rfmt sheetId="1" sqref="AL159" start="0" length="0">
      <dxf>
        <font>
          <sz val="12"/>
          <color theme="1"/>
          <name val="Calibri"/>
          <family val="2"/>
          <charset val="238"/>
          <scheme val="minor"/>
        </font>
      </dxf>
    </rfmt>
    <rfmt sheetId="1" sqref="AL160" start="0" length="0">
      <dxf>
        <font>
          <sz val="12"/>
          <color theme="1"/>
          <name val="Calibri"/>
          <family val="2"/>
          <charset val="238"/>
          <scheme val="minor"/>
        </font>
      </dxf>
    </rfmt>
    <rfmt sheetId="1" sqref="AL161" start="0" length="0">
      <dxf>
        <font>
          <sz val="12"/>
          <color theme="1"/>
          <name val="Calibri"/>
          <family val="2"/>
          <charset val="238"/>
          <scheme val="minor"/>
        </font>
      </dxf>
    </rfmt>
    <rfmt sheetId="1" sqref="AL162" start="0" length="0">
      <dxf>
        <font>
          <sz val="12"/>
          <color theme="1"/>
          <name val="Calibri"/>
          <family val="2"/>
          <charset val="238"/>
          <scheme val="minor"/>
        </font>
      </dxf>
    </rfmt>
    <rfmt sheetId="1" sqref="AL163" start="0" length="0">
      <dxf>
        <font>
          <sz val="12"/>
          <color theme="1"/>
          <name val="Calibri"/>
          <family val="2"/>
          <charset val="238"/>
          <scheme val="minor"/>
        </font>
      </dxf>
    </rfmt>
    <rfmt sheetId="1" sqref="AL164" start="0" length="0">
      <dxf>
        <font>
          <sz val="12"/>
          <color theme="1"/>
          <name val="Calibri"/>
          <family val="2"/>
          <charset val="238"/>
          <scheme val="minor"/>
        </font>
      </dxf>
    </rfmt>
    <rfmt sheetId="1" sqref="AL165" start="0" length="0">
      <dxf>
        <font>
          <sz val="12"/>
          <color theme="1"/>
          <name val="Calibri"/>
          <family val="2"/>
          <charset val="238"/>
          <scheme val="minor"/>
        </font>
      </dxf>
    </rfmt>
    <rfmt sheetId="1" sqref="AL166" start="0" length="0">
      <dxf>
        <font>
          <sz val="12"/>
          <color theme="1"/>
          <name val="Calibri"/>
          <family val="2"/>
          <charset val="238"/>
          <scheme val="minor"/>
        </font>
      </dxf>
    </rfmt>
    <rfmt sheetId="1" sqref="AL167" start="0" length="0">
      <dxf>
        <font>
          <sz val="12"/>
          <color theme="1"/>
          <name val="Calibri"/>
          <family val="2"/>
          <charset val="238"/>
          <scheme val="minor"/>
        </font>
      </dxf>
    </rfmt>
    <rfmt sheetId="1" sqref="AL168" start="0" length="0">
      <dxf>
        <font>
          <sz val="12"/>
          <color theme="1"/>
          <name val="Calibri"/>
          <family val="2"/>
          <charset val="238"/>
          <scheme val="minor"/>
        </font>
      </dxf>
    </rfmt>
    <rfmt sheetId="1" sqref="AL169" start="0" length="0">
      <dxf>
        <font>
          <sz val="12"/>
          <color theme="1"/>
          <name val="Calibri"/>
          <family val="2"/>
          <charset val="238"/>
          <scheme val="minor"/>
        </font>
      </dxf>
    </rfmt>
    <rfmt sheetId="1" sqref="AL170" start="0" length="0">
      <dxf>
        <font>
          <sz val="12"/>
          <color theme="1"/>
          <name val="Calibri"/>
          <family val="2"/>
          <charset val="238"/>
          <scheme val="minor"/>
        </font>
      </dxf>
    </rfmt>
    <rfmt sheetId="1" sqref="AL171" start="0" length="0">
      <dxf>
        <font>
          <sz val="12"/>
          <color theme="1"/>
          <name val="Calibri"/>
          <family val="2"/>
          <charset val="238"/>
          <scheme val="minor"/>
        </font>
      </dxf>
    </rfmt>
    <rfmt sheetId="1" sqref="AL172" start="0" length="0">
      <dxf>
        <font>
          <sz val="12"/>
          <color theme="1"/>
          <name val="Calibri"/>
          <family val="2"/>
          <charset val="238"/>
          <scheme val="minor"/>
        </font>
      </dxf>
    </rfmt>
    <rfmt sheetId="1" sqref="AL173" start="0" length="0">
      <dxf>
        <font>
          <sz val="12"/>
          <color theme="1"/>
          <name val="Calibri"/>
          <family val="2"/>
          <charset val="238"/>
          <scheme val="minor"/>
        </font>
      </dxf>
    </rfmt>
    <rfmt sheetId="1" sqref="AL174" start="0" length="0">
      <dxf>
        <font>
          <sz val="12"/>
          <color theme="1"/>
          <name val="Calibri"/>
          <family val="2"/>
          <charset val="238"/>
          <scheme val="minor"/>
        </font>
      </dxf>
    </rfmt>
    <rfmt sheetId="1" sqref="AL175" start="0" length="0">
      <dxf>
        <font>
          <sz val="12"/>
          <color theme="1"/>
          <name val="Calibri"/>
          <family val="2"/>
          <charset val="238"/>
          <scheme val="minor"/>
        </font>
      </dxf>
    </rfmt>
    <rfmt sheetId="1" sqref="AL176" start="0" length="0">
      <dxf>
        <font>
          <sz val="12"/>
          <color theme="1"/>
          <name val="Calibri"/>
          <family val="2"/>
          <charset val="238"/>
          <scheme val="minor"/>
        </font>
      </dxf>
    </rfmt>
    <rfmt sheetId="1" sqref="AL177" start="0" length="0">
      <dxf>
        <font>
          <sz val="12"/>
          <color theme="1"/>
          <name val="Calibri"/>
          <family val="2"/>
          <charset val="238"/>
          <scheme val="minor"/>
        </font>
      </dxf>
    </rfmt>
    <rfmt sheetId="1" sqref="AL178" start="0" length="0">
      <dxf>
        <font>
          <sz val="12"/>
          <color theme="1"/>
          <name val="Calibri"/>
          <family val="2"/>
          <charset val="238"/>
          <scheme val="minor"/>
        </font>
      </dxf>
    </rfmt>
    <rfmt sheetId="1" sqref="AL179" start="0" length="0">
      <dxf>
        <font>
          <sz val="12"/>
          <color theme="1"/>
          <name val="Calibri"/>
          <family val="2"/>
          <charset val="238"/>
          <scheme val="minor"/>
        </font>
      </dxf>
    </rfmt>
    <rfmt sheetId="1" sqref="AL180" start="0" length="0">
      <dxf>
        <font>
          <sz val="12"/>
          <color theme="1"/>
          <name val="Calibri"/>
          <family val="2"/>
          <charset val="238"/>
          <scheme val="minor"/>
        </font>
      </dxf>
    </rfmt>
    <rfmt sheetId="1" sqref="AL181" start="0" length="0">
      <dxf>
        <font>
          <sz val="12"/>
          <color theme="1"/>
          <name val="Calibri"/>
          <family val="2"/>
          <charset val="238"/>
          <scheme val="minor"/>
        </font>
      </dxf>
    </rfmt>
    <rfmt sheetId="1" sqref="AL182" start="0" length="0">
      <dxf>
        <font>
          <sz val="12"/>
          <color theme="1"/>
          <name val="Calibri"/>
          <family val="2"/>
          <charset val="238"/>
          <scheme val="minor"/>
        </font>
      </dxf>
    </rfmt>
    <rfmt sheetId="1" sqref="AL183" start="0" length="0">
      <dxf>
        <font>
          <sz val="12"/>
          <color theme="1"/>
          <name val="Calibri"/>
          <family val="2"/>
          <charset val="238"/>
          <scheme val="minor"/>
        </font>
      </dxf>
    </rfmt>
    <rfmt sheetId="1" sqref="AL184" start="0" length="0">
      <dxf>
        <font>
          <sz val="12"/>
          <color theme="1"/>
          <name val="Calibri"/>
          <family val="2"/>
          <charset val="238"/>
          <scheme val="minor"/>
        </font>
      </dxf>
    </rfmt>
    <rfmt sheetId="1" sqref="AL185"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L186" start="0" length="0">
      <dxf>
        <font>
          <sz val="12"/>
          <color theme="1"/>
          <name val="Calibri"/>
          <family val="2"/>
          <charset val="238"/>
          <scheme val="minor"/>
        </font>
      </dxf>
    </rfmt>
    <rfmt sheetId="1" sqref="AL187" start="0" length="0">
      <dxf>
        <font>
          <sz val="12"/>
          <color theme="1"/>
          <name val="Calibri"/>
          <family val="2"/>
          <charset val="238"/>
          <scheme val="minor"/>
        </font>
      </dxf>
    </rfmt>
    <rfmt sheetId="1" sqref="AL188" start="0" length="0">
      <dxf>
        <font>
          <sz val="12"/>
          <color theme="1"/>
          <name val="Calibri"/>
          <family val="2"/>
          <charset val="238"/>
          <scheme val="minor"/>
        </font>
      </dxf>
    </rfmt>
    <rfmt sheetId="1" sqref="AL189" start="0" length="0">
      <dxf>
        <font>
          <sz val="12"/>
          <color theme="1"/>
          <name val="Calibri"/>
          <family val="2"/>
          <charset val="238"/>
          <scheme val="minor"/>
        </font>
      </dxf>
    </rfmt>
    <rfmt sheetId="1" sqref="AL190" start="0" length="0">
      <dxf>
        <font>
          <sz val="12"/>
          <color theme="1"/>
          <name val="Calibri"/>
          <family val="2"/>
          <charset val="238"/>
          <scheme val="minor"/>
        </font>
      </dxf>
    </rfmt>
    <rfmt sheetId="1" sqref="AL191" start="0" length="0">
      <dxf>
        <font>
          <sz val="12"/>
          <color theme="1"/>
          <name val="Calibri"/>
          <family val="2"/>
          <charset val="238"/>
          <scheme val="minor"/>
        </font>
      </dxf>
    </rfmt>
    <rfmt sheetId="1" sqref="AL192" start="0" length="0">
      <dxf>
        <font>
          <sz val="12"/>
          <color theme="1"/>
          <name val="Calibri"/>
          <family val="2"/>
          <charset val="238"/>
          <scheme val="minor"/>
        </font>
      </dxf>
    </rfmt>
    <rfmt sheetId="1" sqref="AL193" start="0" length="0">
      <dxf>
        <font>
          <sz val="12"/>
          <color theme="1"/>
          <name val="Calibri"/>
          <family val="2"/>
          <charset val="238"/>
          <scheme val="minor"/>
        </font>
      </dxf>
    </rfmt>
    <rfmt sheetId="1" sqref="AL194" start="0" length="0">
      <dxf>
        <font>
          <sz val="12"/>
          <color theme="1"/>
          <name val="Calibri"/>
          <family val="2"/>
          <charset val="238"/>
          <scheme val="minor"/>
        </font>
      </dxf>
    </rfmt>
    <rfmt sheetId="1" sqref="AL195" start="0" length="0">
      <dxf>
        <font>
          <sz val="12"/>
          <color theme="1"/>
          <name val="Calibri"/>
          <family val="2"/>
          <charset val="238"/>
          <scheme val="minor"/>
        </font>
        <alignment vertical="top" wrapText="1"/>
      </dxf>
    </rfmt>
    <rfmt sheetId="1" sqref="AL196" start="0" length="0">
      <dxf>
        <font>
          <sz val="12"/>
          <color theme="1"/>
          <name val="Calibri"/>
          <family val="2"/>
          <charset val="238"/>
          <scheme val="minor"/>
        </font>
      </dxf>
    </rfmt>
    <rfmt sheetId="1" sqref="AL197" start="0" length="0">
      <dxf>
        <font>
          <sz val="12"/>
          <color theme="1"/>
          <name val="Calibri"/>
          <family val="2"/>
          <charset val="238"/>
          <scheme val="minor"/>
        </font>
      </dxf>
    </rfmt>
    <rfmt sheetId="1" sqref="AL198" start="0" length="0">
      <dxf>
        <font>
          <sz val="12"/>
          <color theme="1"/>
          <name val="Calibri"/>
          <family val="2"/>
          <charset val="238"/>
          <scheme val="minor"/>
        </font>
      </dxf>
    </rfmt>
    <rfmt sheetId="1" sqref="AL199" start="0" length="0">
      <dxf>
        <font>
          <sz val="12"/>
          <color theme="1"/>
          <name val="Calibri"/>
          <family val="2"/>
          <charset val="238"/>
          <scheme val="minor"/>
        </font>
      </dxf>
    </rfmt>
    <rfmt sheetId="1" sqref="AL200" start="0" length="0">
      <dxf>
        <font>
          <sz val="12"/>
          <color theme="1"/>
          <name val="Calibri"/>
          <family val="2"/>
          <charset val="238"/>
          <scheme val="minor"/>
        </font>
      </dxf>
    </rfmt>
    <rfmt sheetId="1" sqref="AL201" start="0" length="0">
      <dxf>
        <font>
          <sz val="12"/>
          <color theme="1"/>
          <name val="Calibri"/>
          <family val="2"/>
          <charset val="238"/>
          <scheme val="minor"/>
        </font>
      </dxf>
    </rfmt>
    <rfmt sheetId="1" sqref="AL202" start="0" length="0">
      <dxf>
        <font>
          <sz val="12"/>
          <color theme="1"/>
          <name val="Calibri"/>
          <family val="2"/>
          <charset val="238"/>
          <scheme val="minor"/>
        </font>
      </dxf>
    </rfmt>
    <rfmt sheetId="1" sqref="AL203" start="0" length="0">
      <dxf>
        <font>
          <sz val="12"/>
          <color theme="1"/>
          <name val="Calibri"/>
          <family val="2"/>
          <charset val="238"/>
          <scheme val="minor"/>
        </font>
      </dxf>
    </rfmt>
    <rfmt sheetId="1" sqref="AL204" start="0" length="0">
      <dxf>
        <font>
          <sz val="12"/>
          <color theme="1"/>
          <name val="Calibri"/>
          <family val="2"/>
          <charset val="238"/>
          <scheme val="minor"/>
        </font>
      </dxf>
    </rfmt>
    <rfmt sheetId="1" sqref="AL205" start="0" length="0">
      <dxf>
        <font>
          <sz val="12"/>
          <color theme="1"/>
          <name val="Calibri"/>
          <family val="2"/>
          <charset val="238"/>
          <scheme val="minor"/>
        </font>
      </dxf>
    </rfmt>
    <rfmt sheetId="1" sqref="AL206" start="0" length="0">
      <dxf>
        <font>
          <sz val="12"/>
          <color theme="1"/>
          <name val="Calibri"/>
          <family val="2"/>
          <charset val="238"/>
          <scheme val="minor"/>
        </font>
      </dxf>
    </rfmt>
    <rfmt sheetId="1" sqref="AL207" start="0" length="0">
      <dxf>
        <font>
          <sz val="12"/>
          <color theme="1"/>
          <name val="Calibri"/>
          <family val="2"/>
          <charset val="238"/>
          <scheme val="minor"/>
        </font>
      </dxf>
    </rfmt>
    <rfmt sheetId="1" sqref="AL208" start="0" length="0">
      <dxf>
        <font>
          <sz val="12"/>
          <color theme="1"/>
          <name val="Calibri"/>
          <family val="2"/>
          <charset val="238"/>
          <scheme val="minor"/>
        </font>
      </dxf>
    </rfmt>
    <rfmt sheetId="1" sqref="AL209" start="0" length="0">
      <dxf>
        <font>
          <sz val="12"/>
          <color theme="1"/>
          <name val="Calibri"/>
          <family val="2"/>
          <charset val="238"/>
          <scheme val="minor"/>
        </font>
      </dxf>
    </rfmt>
    <rfmt sheetId="1" sqref="AL210" start="0" length="0">
      <dxf>
        <font>
          <sz val="12"/>
          <color theme="1"/>
          <name val="Calibri"/>
          <family val="2"/>
          <charset val="238"/>
          <scheme val="minor"/>
        </font>
      </dxf>
    </rfmt>
    <rfmt sheetId="1" sqref="AL211" start="0" length="0">
      <dxf>
        <font>
          <sz val="12"/>
          <color theme="1"/>
          <name val="Calibri"/>
          <family val="2"/>
          <charset val="238"/>
          <scheme val="minor"/>
        </font>
      </dxf>
    </rfmt>
    <rfmt sheetId="1" sqref="AL212" start="0" length="0">
      <dxf>
        <font>
          <sz val="12"/>
          <color theme="1"/>
          <name val="Calibri"/>
          <family val="2"/>
          <charset val="238"/>
          <scheme val="minor"/>
        </font>
      </dxf>
    </rfmt>
    <rfmt sheetId="1" sqref="AL213" start="0" length="0">
      <dxf>
        <font>
          <sz val="12"/>
          <color theme="1"/>
          <name val="Calibri"/>
          <family val="2"/>
          <charset val="238"/>
          <scheme val="minor"/>
        </font>
      </dxf>
    </rfmt>
    <rfmt sheetId="1" sqref="AL214" start="0" length="0">
      <dxf>
        <font>
          <sz val="12"/>
          <color theme="1"/>
          <name val="Calibri"/>
          <family val="2"/>
          <charset val="238"/>
          <scheme val="minor"/>
        </font>
      </dxf>
    </rfmt>
    <rfmt sheetId="1" sqref="AL215" start="0" length="0">
      <dxf>
        <font>
          <sz val="12"/>
          <color theme="1"/>
          <name val="Calibri"/>
          <family val="2"/>
          <charset val="238"/>
          <scheme val="minor"/>
        </font>
      </dxf>
    </rfmt>
    <rfmt sheetId="1" sqref="AL216" start="0" length="0">
      <dxf>
        <font>
          <sz val="12"/>
          <color theme="1"/>
          <name val="Calibri"/>
          <family val="2"/>
          <charset val="238"/>
          <scheme val="minor"/>
        </font>
      </dxf>
    </rfmt>
    <rfmt sheetId="1" sqref="AL217" start="0" length="0">
      <dxf>
        <font>
          <sz val="12"/>
          <color theme="1"/>
          <name val="Calibri"/>
          <family val="2"/>
          <charset val="238"/>
          <scheme val="minor"/>
        </font>
      </dxf>
    </rfmt>
    <rfmt sheetId="1" sqref="AL218" start="0" length="0">
      <dxf>
        <font>
          <sz val="12"/>
          <color theme="1"/>
          <name val="Calibri"/>
          <family val="2"/>
          <charset val="238"/>
          <scheme val="minor"/>
        </font>
      </dxf>
    </rfmt>
    <rfmt sheetId="1" sqref="AL219" start="0" length="0">
      <dxf>
        <font>
          <sz val="12"/>
          <color theme="1"/>
          <name val="Calibri"/>
          <family val="2"/>
          <charset val="238"/>
          <scheme val="minor"/>
        </font>
      </dxf>
    </rfmt>
    <rfmt sheetId="1" sqref="AL220" start="0" length="0">
      <dxf>
        <font>
          <sz val="12"/>
          <color theme="1"/>
          <name val="Calibri"/>
          <family val="2"/>
          <charset val="238"/>
          <scheme val="minor"/>
        </font>
      </dxf>
    </rfmt>
    <rfmt sheetId="1" sqref="AL221" start="0" length="0">
      <dxf>
        <font>
          <sz val="12"/>
          <color theme="1"/>
          <name val="Calibri"/>
          <family val="2"/>
          <charset val="238"/>
          <scheme val="minor"/>
        </font>
      </dxf>
    </rfmt>
    <rfmt sheetId="1" sqref="AL222" start="0" length="0">
      <dxf>
        <font>
          <sz val="12"/>
          <color theme="1"/>
          <name val="Calibri"/>
          <family val="2"/>
          <charset val="238"/>
          <scheme val="minor"/>
        </font>
      </dxf>
    </rfmt>
    <rfmt sheetId="1" sqref="AL223" start="0" length="0">
      <dxf>
        <font>
          <sz val="12"/>
          <color theme="1"/>
          <name val="Calibri"/>
          <family val="2"/>
          <charset val="238"/>
          <scheme val="minor"/>
        </font>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2"/>
          <color theme="1"/>
          <name val="Calibri"/>
          <family val="2"/>
          <charset val="238"/>
          <scheme val="minor"/>
        </font>
      </dxf>
    </rfmt>
    <rfmt sheetId="1" sqref="AL227" start="0" length="0">
      <dxf>
        <font>
          <sz val="12"/>
          <color theme="1"/>
          <name val="Calibri"/>
          <family val="2"/>
          <charset val="238"/>
          <scheme val="minor"/>
        </font>
      </dxf>
    </rfmt>
    <rfmt sheetId="1" sqref="AL228" start="0" length="0">
      <dxf>
        <font>
          <sz val="12"/>
          <color theme="1"/>
          <name val="Calibri"/>
          <family val="2"/>
          <charset val="238"/>
          <scheme val="minor"/>
        </font>
      </dxf>
    </rfmt>
    <rfmt sheetId="1" sqref="AL229" start="0" length="0">
      <dxf>
        <font>
          <sz val="12"/>
          <color theme="1"/>
          <name val="Calibri"/>
          <family val="2"/>
          <charset val="238"/>
          <scheme val="minor"/>
        </font>
      </dxf>
    </rfmt>
    <rfmt sheetId="1" sqref="AL230" start="0" length="0">
      <dxf>
        <font>
          <sz val="12"/>
          <color theme="1"/>
          <name val="Calibri"/>
          <family val="2"/>
          <charset val="238"/>
          <scheme val="minor"/>
        </font>
      </dxf>
    </rfmt>
    <rfmt sheetId="1" sqref="AL231" start="0" length="0">
      <dxf>
        <font>
          <sz val="12"/>
          <color theme="1"/>
          <name val="Calibri"/>
          <family val="2"/>
          <charset val="238"/>
          <scheme val="minor"/>
        </font>
      </dxf>
    </rfmt>
    <rfmt sheetId="1" sqref="AL232" start="0" length="0">
      <dxf>
        <font>
          <sz val="12"/>
          <color theme="1"/>
          <name val="Calibri"/>
          <family val="2"/>
          <charset val="238"/>
          <scheme val="minor"/>
        </font>
      </dxf>
    </rfmt>
    <rfmt sheetId="1" sqref="AL233" start="0" length="0">
      <dxf>
        <font>
          <sz val="12"/>
          <color theme="1"/>
          <name val="Calibri"/>
          <family val="2"/>
          <charset val="238"/>
          <scheme val="minor"/>
        </font>
      </dxf>
    </rfmt>
    <rfmt sheetId="1" sqref="AL234" start="0" length="0">
      <dxf>
        <font>
          <sz val="12"/>
          <color theme="1"/>
          <name val="Calibri"/>
          <family val="2"/>
          <charset val="238"/>
          <scheme val="minor"/>
        </font>
      </dxf>
    </rfmt>
    <rfmt sheetId="1" sqref="AL235" start="0" length="0">
      <dxf>
        <font>
          <sz val="12"/>
          <color theme="1"/>
          <name val="Calibri"/>
          <family val="2"/>
          <charset val="238"/>
          <scheme val="minor"/>
        </font>
      </dxf>
    </rfmt>
    <rfmt sheetId="1" sqref="AL236" start="0" length="0">
      <dxf>
        <font>
          <sz val="12"/>
          <color theme="1"/>
          <name val="Calibri"/>
          <family val="2"/>
          <charset val="238"/>
          <scheme val="minor"/>
        </font>
      </dxf>
    </rfmt>
    <rfmt sheetId="1" sqref="AL237" start="0" length="0">
      <dxf>
        <font>
          <sz val="12"/>
          <color theme="1"/>
          <name val="Calibri"/>
          <family val="2"/>
          <charset val="238"/>
          <scheme val="minor"/>
        </font>
      </dxf>
    </rfmt>
    <rfmt sheetId="1" sqref="AL238" start="0" length="0">
      <dxf>
        <font>
          <sz val="12"/>
          <color theme="1"/>
          <name val="Calibri"/>
          <family val="2"/>
          <charset val="238"/>
          <scheme val="minor"/>
        </font>
      </dxf>
    </rfmt>
    <rfmt sheetId="1" sqref="AL239" start="0" length="0">
      <dxf>
        <font>
          <sz val="12"/>
          <color theme="1"/>
          <name val="Calibri"/>
          <family val="2"/>
          <charset val="238"/>
          <scheme val="minor"/>
        </font>
      </dxf>
    </rfmt>
    <rfmt sheetId="1" sqref="AL240" start="0" length="0">
      <dxf>
        <font>
          <sz val="12"/>
          <color theme="1"/>
          <name val="Calibri"/>
          <family val="2"/>
          <charset val="238"/>
          <scheme val="minor"/>
        </font>
      </dxf>
    </rfmt>
    <rfmt sheetId="1" sqref="AL241" start="0" length="0">
      <dxf>
        <font>
          <sz val="12"/>
          <color theme="1"/>
          <name val="Calibri"/>
          <family val="2"/>
          <charset val="238"/>
          <scheme val="minor"/>
        </font>
      </dxf>
    </rfmt>
    <rfmt sheetId="1" sqref="AL242" start="0" length="0">
      <dxf>
        <font>
          <sz val="12"/>
          <color theme="1"/>
          <name val="Calibri"/>
          <family val="2"/>
          <charset val="238"/>
          <scheme val="minor"/>
        </font>
      </dxf>
    </rfmt>
    <rfmt sheetId="1" sqref="AL243" start="0" length="0">
      <dxf>
        <font>
          <sz val="12"/>
          <color theme="1"/>
          <name val="Calibri"/>
          <family val="2"/>
          <charset val="238"/>
          <scheme val="minor"/>
        </font>
      </dxf>
    </rfmt>
    <rfmt sheetId="1" sqref="AL244" start="0" length="0">
      <dxf>
        <font>
          <sz val="12"/>
          <color theme="1"/>
          <name val="Calibri"/>
          <family val="2"/>
          <charset val="238"/>
          <scheme val="minor"/>
        </font>
      </dxf>
    </rfmt>
    <rfmt sheetId="1" sqref="AL245" start="0" length="0">
      <dxf>
        <font>
          <sz val="12"/>
          <color theme="1"/>
          <name val="Calibri"/>
          <family val="2"/>
          <charset val="238"/>
          <scheme val="minor"/>
        </font>
      </dxf>
    </rfmt>
    <rfmt sheetId="1" sqref="AL246" start="0" length="0">
      <dxf>
        <font>
          <sz val="12"/>
          <color theme="1"/>
          <name val="Calibri"/>
          <family val="2"/>
          <charset val="238"/>
          <scheme val="minor"/>
        </font>
      </dxf>
    </rfmt>
    <rfmt sheetId="1" sqref="AL247" start="0" length="0">
      <dxf>
        <font>
          <sz val="12"/>
          <color theme="1"/>
          <name val="Calibri"/>
          <family val="2"/>
          <charset val="238"/>
          <scheme val="minor"/>
        </font>
      </dxf>
    </rfmt>
    <rfmt sheetId="1" sqref="AL248" start="0" length="0">
      <dxf>
        <font>
          <sz val="12"/>
          <color theme="1"/>
          <name val="Calibri"/>
          <family val="2"/>
          <charset val="238"/>
          <scheme val="minor"/>
        </font>
      </dxf>
    </rfmt>
    <rfmt sheetId="1" sqref="AL249" start="0" length="0">
      <dxf>
        <font>
          <sz val="12"/>
          <color theme="1"/>
          <name val="Calibri"/>
          <family val="2"/>
          <charset val="238"/>
          <scheme val="minor"/>
        </font>
      </dxf>
    </rfmt>
    <rfmt sheetId="1" sqref="AL250" start="0" length="0">
      <dxf>
        <font>
          <sz val="12"/>
          <color theme="1"/>
          <name val="Calibri"/>
          <family val="2"/>
          <charset val="238"/>
          <scheme val="minor"/>
        </font>
      </dxf>
    </rfmt>
    <rfmt sheetId="1" sqref="AL251" start="0" length="0">
      <dxf>
        <font>
          <sz val="12"/>
          <color theme="1"/>
          <name val="Calibri"/>
          <family val="2"/>
          <charset val="238"/>
          <scheme val="minor"/>
        </font>
      </dxf>
    </rfmt>
    <rfmt sheetId="1" sqref="AL252" start="0" length="0">
      <dxf>
        <font>
          <sz val="12"/>
          <color theme="1"/>
          <name val="Calibri"/>
          <family val="2"/>
          <charset val="238"/>
          <scheme val="minor"/>
        </font>
      </dxf>
    </rfmt>
    <rfmt sheetId="1" sqref="AL253" start="0" length="0">
      <dxf>
        <font>
          <sz val="12"/>
          <color theme="1"/>
          <name val="Calibri"/>
          <family val="2"/>
          <charset val="238"/>
          <scheme val="minor"/>
        </font>
      </dxf>
    </rfmt>
    <rfmt sheetId="1" sqref="AL254" start="0" length="0">
      <dxf>
        <font>
          <sz val="12"/>
          <color theme="1"/>
          <name val="Calibri"/>
          <family val="2"/>
          <charset val="238"/>
          <scheme val="minor"/>
        </font>
      </dxf>
    </rfmt>
    <rfmt sheetId="1" sqref="AL255" start="0" length="0">
      <dxf>
        <font>
          <sz val="12"/>
          <color theme="1"/>
          <name val="Calibri"/>
          <family val="2"/>
          <charset val="238"/>
          <scheme val="minor"/>
        </font>
      </dxf>
    </rfmt>
    <rfmt sheetId="1" sqref="AL256" start="0" length="0">
      <dxf>
        <font>
          <sz val="12"/>
          <color theme="1"/>
          <name val="Calibri"/>
          <family val="2"/>
          <charset val="238"/>
          <scheme val="minor"/>
        </font>
      </dxf>
    </rfmt>
    <rfmt sheetId="1" sqref="AL257" start="0" length="0">
      <dxf>
        <font>
          <sz val="12"/>
          <color theme="1"/>
          <name val="Calibri"/>
          <family val="2"/>
          <charset val="238"/>
          <scheme val="minor"/>
        </font>
      </dxf>
    </rfmt>
    <rfmt sheetId="1" sqref="AL258" start="0" length="0">
      <dxf>
        <font>
          <sz val="12"/>
          <color theme="1"/>
          <name val="Calibri"/>
          <family val="2"/>
          <charset val="238"/>
          <scheme val="minor"/>
        </font>
      </dxf>
    </rfmt>
    <rfmt sheetId="1" sqref="AL259" start="0" length="0">
      <dxf>
        <font>
          <sz val="12"/>
          <color theme="1"/>
          <name val="Calibri"/>
          <family val="2"/>
          <charset val="238"/>
          <scheme val="minor"/>
        </font>
      </dxf>
    </rfmt>
    <rfmt sheetId="1" sqref="AL260" start="0" length="0">
      <dxf>
        <font>
          <sz val="12"/>
          <color theme="1"/>
          <name val="Calibri"/>
          <family val="2"/>
          <charset val="238"/>
          <scheme val="minor"/>
        </font>
      </dxf>
    </rfmt>
    <rfmt sheetId="1" sqref="AL261" start="0" length="0">
      <dxf>
        <font>
          <sz val="12"/>
          <color theme="1"/>
          <name val="Calibri"/>
          <family val="2"/>
          <charset val="238"/>
          <scheme val="minor"/>
        </font>
      </dxf>
    </rfmt>
    <rfmt sheetId="1" sqref="AL262" start="0" length="0">
      <dxf>
        <font>
          <sz val="12"/>
          <color theme="1"/>
          <name val="Calibri"/>
          <family val="2"/>
          <charset val="238"/>
          <scheme val="minor"/>
        </font>
      </dxf>
    </rfmt>
    <rfmt sheetId="1" sqref="AL263" start="0" length="0">
      <dxf>
        <font>
          <sz val="12"/>
          <color theme="1"/>
          <name val="Calibri"/>
          <family val="2"/>
          <charset val="238"/>
          <scheme val="minor"/>
        </font>
      </dxf>
    </rfmt>
    <rfmt sheetId="1" sqref="AL264" start="0" length="0">
      <dxf>
        <font>
          <sz val="12"/>
          <color theme="1"/>
          <name val="Calibri"/>
          <family val="2"/>
          <charset val="238"/>
          <scheme val="minor"/>
        </font>
      </dxf>
    </rfmt>
    <rfmt sheetId="1" sqref="AL265" start="0" length="0">
      <dxf>
        <font>
          <sz val="12"/>
          <color theme="1"/>
          <name val="Calibri"/>
          <family val="2"/>
          <charset val="238"/>
          <scheme val="minor"/>
        </font>
      </dxf>
    </rfmt>
    <rfmt sheetId="1" sqref="AL266" start="0" length="0">
      <dxf>
        <font>
          <sz val="12"/>
          <color theme="1"/>
          <name val="Calibri"/>
          <family val="2"/>
          <charset val="238"/>
          <scheme val="minor"/>
        </font>
      </dxf>
    </rfmt>
    <rfmt sheetId="1" sqref="AL267" start="0" length="0">
      <dxf>
        <font>
          <sz val="12"/>
          <color theme="1"/>
          <name val="Calibri"/>
          <family val="2"/>
          <charset val="238"/>
          <scheme val="minor"/>
        </font>
      </dxf>
    </rfmt>
    <rfmt sheetId="1" sqref="AL268" start="0" length="0">
      <dxf>
        <font>
          <sz val="12"/>
          <color theme="1"/>
          <name val="Calibri"/>
          <family val="2"/>
          <charset val="238"/>
          <scheme val="minor"/>
        </font>
      </dxf>
    </rfmt>
    <rfmt sheetId="1" sqref="AL269" start="0" length="0">
      <dxf>
        <font>
          <sz val="12"/>
          <color theme="1"/>
          <name val="Calibri"/>
          <family val="2"/>
          <charset val="238"/>
          <scheme val="minor"/>
        </font>
      </dxf>
    </rfmt>
    <rfmt sheetId="1" sqref="AL270" start="0" length="0">
      <dxf>
        <font>
          <sz val="12"/>
          <color theme="1"/>
          <name val="Calibri"/>
          <family val="2"/>
          <charset val="238"/>
          <scheme val="minor"/>
        </font>
      </dxf>
    </rfmt>
    <rfmt sheetId="1" sqref="AL271" start="0" length="0">
      <dxf>
        <font>
          <sz val="12"/>
          <color theme="1"/>
          <name val="Calibri"/>
          <family val="2"/>
          <charset val="238"/>
          <scheme val="minor"/>
        </font>
      </dxf>
    </rfmt>
    <rfmt sheetId="1" sqref="AL272" start="0" length="0">
      <dxf>
        <font>
          <sz val="12"/>
          <color theme="1"/>
          <name val="Calibri"/>
          <family val="2"/>
          <charset val="238"/>
          <scheme val="minor"/>
        </font>
      </dxf>
    </rfmt>
    <rfmt sheetId="1" sqref="AL273" start="0" length="0">
      <dxf>
        <font>
          <sz val="12"/>
          <color theme="1"/>
          <name val="Calibri"/>
          <family val="2"/>
          <charset val="238"/>
          <scheme val="minor"/>
        </font>
      </dxf>
    </rfmt>
    <rfmt sheetId="1" sqref="AL274" start="0" length="0">
      <dxf>
        <font>
          <sz val="12"/>
          <color theme="1"/>
          <name val="Calibri"/>
          <family val="2"/>
          <charset val="238"/>
          <scheme val="minor"/>
        </font>
      </dxf>
    </rfmt>
    <rfmt sheetId="1" sqref="AL275" start="0" length="0">
      <dxf>
        <font>
          <sz val="12"/>
          <color theme="1"/>
          <name val="Calibri"/>
          <family val="2"/>
          <charset val="238"/>
          <scheme val="minor"/>
        </font>
      </dxf>
    </rfmt>
    <rfmt sheetId="1" sqref="AL276" start="0" length="0">
      <dxf>
        <font>
          <sz val="12"/>
          <color theme="1"/>
          <name val="Calibri"/>
          <family val="2"/>
          <charset val="238"/>
          <scheme val="minor"/>
        </font>
      </dxf>
    </rfmt>
    <rfmt sheetId="1" sqref="AL277" start="0" length="0">
      <dxf>
        <font>
          <sz val="12"/>
          <color theme="1"/>
          <name val="Calibri"/>
          <family val="2"/>
          <charset val="238"/>
          <scheme val="minor"/>
        </font>
      </dxf>
    </rfmt>
    <rfmt sheetId="1" sqref="AL278" start="0" length="0">
      <dxf>
        <font>
          <sz val="12"/>
          <color theme="1"/>
          <name val="Calibri"/>
          <family val="2"/>
          <charset val="238"/>
          <scheme val="minor"/>
        </font>
      </dxf>
    </rfmt>
    <rfmt sheetId="1" sqref="AL279" start="0" length="0">
      <dxf>
        <font>
          <sz val="12"/>
          <color theme="1"/>
          <name val="Calibri"/>
          <family val="2"/>
          <charset val="238"/>
          <scheme val="minor"/>
        </font>
      </dxf>
    </rfmt>
    <rfmt sheetId="1" sqref="AL280" start="0" length="0">
      <dxf>
        <font>
          <sz val="12"/>
          <color theme="1"/>
          <name val="Calibri"/>
          <family val="2"/>
          <charset val="238"/>
          <scheme val="minor"/>
        </font>
      </dxf>
    </rfmt>
    <rfmt sheetId="1" sqref="AL281" start="0" length="0">
      <dxf>
        <font>
          <sz val="12"/>
          <color theme="1"/>
          <name val="Calibri"/>
          <family val="2"/>
          <charset val="238"/>
          <scheme val="minor"/>
        </font>
      </dxf>
    </rfmt>
    <rfmt sheetId="1" sqref="AL282" start="0" length="0">
      <dxf>
        <font>
          <sz val="12"/>
          <color theme="1"/>
          <name val="Calibri"/>
          <family val="2"/>
          <charset val="238"/>
          <scheme val="minor"/>
        </font>
      </dxf>
    </rfmt>
    <rfmt sheetId="1" sqref="AL283" start="0" length="0">
      <dxf>
        <font>
          <sz val="12"/>
          <color theme="1"/>
          <name val="Calibri"/>
          <family val="2"/>
          <charset val="238"/>
          <scheme val="minor"/>
        </font>
      </dxf>
    </rfmt>
    <rfmt sheetId="1" sqref="AL284" start="0" length="0">
      <dxf>
        <font>
          <sz val="12"/>
          <color theme="1"/>
          <name val="Calibri"/>
          <family val="2"/>
          <charset val="238"/>
          <scheme val="minor"/>
        </font>
      </dxf>
    </rfmt>
    <rfmt sheetId="1" sqref="AL285" start="0" length="0">
      <dxf>
        <font>
          <sz val="12"/>
          <color theme="1"/>
          <name val="Calibri"/>
          <family val="2"/>
          <charset val="238"/>
          <scheme val="minor"/>
        </font>
      </dxf>
    </rfmt>
    <rfmt sheetId="1" sqref="AL286" start="0" length="0">
      <dxf>
        <font>
          <sz val="12"/>
          <color theme="1"/>
          <name val="Calibri"/>
          <family val="2"/>
          <charset val="238"/>
          <scheme val="minor"/>
        </font>
      </dxf>
    </rfmt>
    <rfmt sheetId="1" sqref="AL287" start="0" length="0">
      <dxf>
        <font>
          <sz val="12"/>
          <color theme="1"/>
          <name val="Calibri"/>
          <family val="2"/>
          <charset val="238"/>
          <scheme val="minor"/>
        </font>
      </dxf>
    </rfmt>
    <rfmt sheetId="1" sqref="AL288" start="0" length="0">
      <dxf>
        <font>
          <sz val="12"/>
          <color theme="1"/>
          <name val="Calibri"/>
          <family val="2"/>
          <charset val="238"/>
          <scheme val="minor"/>
        </font>
      </dxf>
    </rfmt>
    <rfmt sheetId="1" sqref="AL289" start="0" length="0">
      <dxf>
        <font>
          <sz val="12"/>
          <color theme="1"/>
          <name val="Calibri"/>
          <family val="2"/>
          <charset val="238"/>
          <scheme val="minor"/>
        </font>
      </dxf>
    </rfmt>
    <rfmt sheetId="1" sqref="AL290" start="0" length="0">
      <dxf>
        <font>
          <sz val="12"/>
          <color theme="1"/>
          <name val="Calibri"/>
          <family val="2"/>
          <charset val="238"/>
          <scheme val="minor"/>
        </font>
      </dxf>
    </rfmt>
    <rfmt sheetId="1" sqref="AL291" start="0" length="0">
      <dxf>
        <font>
          <sz val="12"/>
          <color theme="1"/>
          <name val="Calibri"/>
          <family val="2"/>
          <charset val="238"/>
          <scheme val="minor"/>
        </font>
      </dxf>
    </rfmt>
    <rfmt sheetId="1" sqref="AL292" start="0" length="0">
      <dxf>
        <font>
          <sz val="12"/>
          <color theme="1"/>
          <name val="Calibri"/>
          <family val="2"/>
          <charset val="238"/>
          <scheme val="minor"/>
        </font>
      </dxf>
    </rfmt>
    <rfmt sheetId="1" sqref="AL293" start="0" length="0">
      <dxf>
        <font>
          <sz val="12"/>
          <color theme="1"/>
          <name val="Calibri"/>
          <family val="2"/>
          <charset val="238"/>
          <scheme val="minor"/>
        </font>
      </dxf>
    </rfmt>
    <rfmt sheetId="1" sqref="AL294" start="0" length="0">
      <dxf>
        <font>
          <sz val="12"/>
          <color theme="1"/>
          <name val="Calibri"/>
          <family val="2"/>
          <charset val="238"/>
          <scheme val="minor"/>
        </font>
      </dxf>
    </rfmt>
    <rfmt sheetId="1" sqref="AL295" start="0" length="0">
      <dxf>
        <font>
          <sz val="12"/>
          <color theme="1"/>
          <name val="Calibri"/>
          <family val="2"/>
          <charset val="238"/>
          <scheme val="minor"/>
        </font>
      </dxf>
    </rfmt>
    <rfmt sheetId="1" sqref="AL296" start="0" length="0">
      <dxf>
        <font>
          <sz val="12"/>
          <color theme="1"/>
          <name val="Calibri"/>
          <family val="2"/>
          <charset val="238"/>
          <scheme val="minor"/>
        </font>
      </dxf>
    </rfmt>
    <rfmt sheetId="1" sqref="AL297" start="0" length="0">
      <dxf>
        <font>
          <sz val="12"/>
          <color theme="1"/>
          <name val="Calibri"/>
          <family val="2"/>
          <charset val="238"/>
          <scheme val="minor"/>
        </font>
      </dxf>
    </rfmt>
    <rfmt sheetId="1" sqref="AL298" start="0" length="0">
      <dxf>
        <font>
          <sz val="12"/>
          <color theme="1"/>
          <name val="Calibri"/>
          <family val="2"/>
          <charset val="238"/>
          <scheme val="minor"/>
        </font>
      </dxf>
    </rfmt>
    <rfmt sheetId="1" sqref="AL299" start="0" length="0">
      <dxf>
        <font>
          <sz val="12"/>
          <color theme="1"/>
          <name val="Calibri"/>
          <family val="2"/>
          <charset val="238"/>
          <scheme val="minor"/>
        </font>
      </dxf>
    </rfmt>
    <rfmt sheetId="1" sqref="AL300" start="0" length="0">
      <dxf>
        <font>
          <sz val="12"/>
          <color theme="1"/>
          <name val="Calibri"/>
          <family val="2"/>
          <charset val="238"/>
          <scheme val="minor"/>
        </font>
      </dxf>
    </rfmt>
    <rfmt sheetId="1" sqref="AL301" start="0" length="0">
      <dxf>
        <font>
          <sz val="12"/>
          <color theme="1"/>
          <name val="Calibri"/>
          <family val="2"/>
          <charset val="238"/>
          <scheme val="minor"/>
        </font>
      </dxf>
    </rfmt>
    <rfmt sheetId="1" sqref="AL302" start="0" length="0">
      <dxf>
        <font>
          <sz val="12"/>
          <color theme="1"/>
          <name val="Calibri"/>
          <family val="2"/>
          <charset val="238"/>
          <scheme val="minor"/>
        </font>
      </dxf>
    </rfmt>
    <rfmt sheetId="1" sqref="AL303" start="0" length="0">
      <dxf>
        <font>
          <sz val="12"/>
          <color theme="1"/>
          <name val="Calibri"/>
          <family val="2"/>
          <charset val="238"/>
          <scheme val="minor"/>
        </font>
      </dxf>
    </rfmt>
    <rfmt sheetId="1" sqref="AL304" start="0" length="0">
      <dxf>
        <font>
          <sz val="12"/>
          <color theme="1"/>
          <name val="Calibri"/>
          <family val="2"/>
          <charset val="238"/>
          <scheme val="minor"/>
        </font>
      </dxf>
    </rfmt>
    <rfmt sheetId="1" sqref="AL305" start="0" length="0">
      <dxf>
        <font>
          <sz val="12"/>
          <color theme="1"/>
          <name val="Calibri"/>
          <family val="2"/>
          <charset val="238"/>
          <scheme val="minor"/>
        </font>
      </dxf>
    </rfmt>
    <rfmt sheetId="1" sqref="AL306" start="0" length="0">
      <dxf>
        <font>
          <sz val="12"/>
          <color theme="1"/>
          <name val="Calibri"/>
          <family val="2"/>
          <charset val="238"/>
          <scheme val="minor"/>
        </font>
      </dxf>
    </rfmt>
    <rfmt sheetId="1" sqref="AL307" start="0" length="0">
      <dxf>
        <font>
          <sz val="12"/>
          <color theme="1"/>
          <name val="Calibri"/>
          <family val="2"/>
          <charset val="238"/>
          <scheme val="minor"/>
        </font>
      </dxf>
    </rfmt>
    <rfmt sheetId="1" sqref="AL308" start="0" length="0">
      <dxf>
        <font>
          <sz val="12"/>
          <color theme="1"/>
          <name val="Calibri"/>
          <family val="2"/>
          <charset val="238"/>
          <scheme val="minor"/>
        </font>
      </dxf>
    </rfmt>
    <rfmt sheetId="1" sqref="AL309" start="0" length="0">
      <dxf>
        <font>
          <sz val="12"/>
          <color theme="1"/>
          <name val="Calibri"/>
          <family val="2"/>
          <charset val="238"/>
          <scheme val="minor"/>
        </font>
      </dxf>
    </rfmt>
    <rfmt sheetId="1" sqref="AL310" start="0" length="0">
      <dxf>
        <font>
          <sz val="12"/>
          <color theme="1"/>
          <name val="Calibri"/>
          <family val="2"/>
          <charset val="238"/>
          <scheme val="minor"/>
        </font>
      </dxf>
    </rfmt>
    <rfmt sheetId="1" sqref="AL311" start="0" length="0">
      <dxf>
        <font>
          <sz val="12"/>
          <color theme="1"/>
          <name val="Calibri"/>
          <family val="2"/>
          <charset val="238"/>
          <scheme val="minor"/>
        </font>
      </dxf>
    </rfmt>
    <rfmt sheetId="1" sqref="AL312" start="0" length="0">
      <dxf>
        <font>
          <sz val="12"/>
          <color theme="1"/>
          <name val="Calibri"/>
          <family val="2"/>
          <charset val="238"/>
          <scheme val="minor"/>
        </font>
        <alignment vertical="top" wrapText="1"/>
      </dxf>
    </rfmt>
    <rfmt sheetId="1" sqref="AL313" start="0" length="0">
      <dxf>
        <font>
          <sz val="12"/>
          <color theme="1"/>
          <name val="Calibri"/>
          <family val="2"/>
          <charset val="238"/>
          <scheme val="minor"/>
        </font>
      </dxf>
    </rfmt>
    <rfmt sheetId="1" sqref="AL314" start="0" length="0">
      <dxf>
        <font>
          <sz val="12"/>
          <color theme="1"/>
          <name val="Calibri"/>
          <family val="2"/>
          <charset val="238"/>
          <scheme val="minor"/>
        </font>
      </dxf>
    </rfmt>
    <rfmt sheetId="1" sqref="AL315" start="0" length="0">
      <dxf>
        <font>
          <sz val="12"/>
          <color theme="1"/>
          <name val="Calibri"/>
          <family val="2"/>
          <charset val="238"/>
          <scheme val="minor"/>
        </font>
      </dxf>
    </rfmt>
    <rfmt sheetId="1" sqref="AL316" start="0" length="0">
      <dxf>
        <font>
          <sz val="12"/>
          <color theme="1"/>
          <name val="Calibri"/>
          <family val="2"/>
          <charset val="238"/>
          <scheme val="minor"/>
        </font>
      </dxf>
    </rfmt>
    <rfmt sheetId="1" sqref="AL317" start="0" length="0">
      <dxf>
        <font>
          <sz val="12"/>
          <color theme="1"/>
          <name val="Calibri"/>
          <family val="2"/>
          <charset val="238"/>
          <scheme val="minor"/>
        </font>
      </dxf>
    </rfmt>
    <rfmt sheetId="1" sqref="AL318" start="0" length="0">
      <dxf>
        <font>
          <sz val="12"/>
          <color theme="1"/>
          <name val="Calibri"/>
          <family val="2"/>
          <charset val="238"/>
          <scheme val="minor"/>
        </font>
      </dxf>
    </rfmt>
    <rfmt sheetId="1" sqref="AL319" start="0" length="0">
      <dxf>
        <font>
          <sz val="12"/>
          <color theme="1"/>
          <name val="Calibri"/>
          <family val="2"/>
          <charset val="238"/>
          <scheme val="minor"/>
        </font>
      </dxf>
    </rfmt>
    <rfmt sheetId="1" sqref="AL320" start="0" length="0">
      <dxf>
        <font>
          <sz val="12"/>
          <color theme="1"/>
          <name val="Calibri"/>
          <family val="2"/>
          <charset val="238"/>
          <scheme val="minor"/>
        </font>
      </dxf>
    </rfmt>
    <rfmt sheetId="1" sqref="AL321" start="0" length="0">
      <dxf>
        <font>
          <sz val="12"/>
          <color theme="1"/>
          <name val="Calibri"/>
          <family val="2"/>
          <charset val="238"/>
          <scheme val="minor"/>
        </font>
      </dxf>
    </rfmt>
    <rfmt sheetId="1" sqref="AL322" start="0" length="0">
      <dxf>
        <font>
          <sz val="12"/>
          <color theme="1"/>
          <name val="Calibri"/>
          <family val="2"/>
          <charset val="238"/>
          <scheme val="minor"/>
        </font>
      </dxf>
    </rfmt>
    <rfmt sheetId="1" sqref="AL323" start="0" length="0">
      <dxf>
        <font>
          <sz val="12"/>
          <color theme="1"/>
          <name val="Calibri"/>
          <family val="2"/>
          <charset val="238"/>
          <scheme val="minor"/>
        </font>
      </dxf>
    </rfmt>
    <rfmt sheetId="1" sqref="AL324" start="0" length="0">
      <dxf>
        <font>
          <sz val="12"/>
          <color theme="1"/>
          <name val="Calibri"/>
          <family val="2"/>
          <charset val="238"/>
          <scheme val="minor"/>
        </font>
      </dxf>
    </rfmt>
    <rfmt sheetId="1" sqref="AL325" start="0" length="0">
      <dxf>
        <font>
          <sz val="12"/>
          <color theme="1"/>
          <name val="Calibri"/>
          <family val="2"/>
          <charset val="238"/>
          <scheme val="minor"/>
        </font>
      </dxf>
    </rfmt>
    <rfmt sheetId="1" sqref="AL326" start="0" length="0">
      <dxf>
        <font>
          <sz val="12"/>
          <color theme="1"/>
          <name val="Calibri"/>
          <family val="2"/>
          <charset val="238"/>
          <scheme val="minor"/>
        </font>
      </dxf>
    </rfmt>
    <rfmt sheetId="1" sqref="AL327" start="0" length="0">
      <dxf>
        <font>
          <sz val="12"/>
          <color theme="1"/>
          <name val="Calibri"/>
          <family val="2"/>
          <charset val="238"/>
          <scheme val="minor"/>
        </font>
      </dxf>
    </rfmt>
    <rfmt sheetId="1" sqref="AL328" start="0" length="0">
      <dxf>
        <font>
          <sz val="12"/>
          <color theme="1"/>
          <name val="Calibri"/>
          <family val="2"/>
          <charset val="238"/>
          <scheme val="minor"/>
        </font>
      </dxf>
    </rfmt>
    <rfmt sheetId="1" sqref="AL329" start="0" length="0">
      <dxf>
        <font>
          <sz val="12"/>
          <color theme="1"/>
          <name val="Calibri"/>
          <family val="2"/>
          <charset val="238"/>
          <scheme val="minor"/>
        </font>
      </dxf>
    </rfmt>
    <rfmt sheetId="1" sqref="AL330" start="0" length="0">
      <dxf>
        <font>
          <sz val="12"/>
          <color theme="1"/>
          <name val="Calibri"/>
          <family val="2"/>
          <charset val="238"/>
          <scheme val="minor"/>
        </font>
      </dxf>
    </rfmt>
    <rfmt sheetId="1" sqref="AL331" start="0" length="0">
      <dxf>
        <font>
          <sz val="12"/>
          <color theme="1"/>
          <name val="Calibri"/>
          <family val="2"/>
          <charset val="238"/>
          <scheme val="minor"/>
        </font>
      </dxf>
    </rfmt>
    <rfmt sheetId="1" sqref="AL332" start="0" length="0">
      <dxf>
        <font>
          <sz val="12"/>
          <color theme="1"/>
          <name val="Calibri"/>
          <family val="2"/>
          <charset val="238"/>
          <scheme val="minor"/>
        </font>
      </dxf>
    </rfmt>
    <rfmt sheetId="1" sqref="AL333" start="0" length="0">
      <dxf>
        <font>
          <sz val="12"/>
          <color theme="1"/>
          <name val="Calibri"/>
          <family val="2"/>
          <charset val="238"/>
          <scheme val="minor"/>
        </font>
      </dxf>
    </rfmt>
    <rfmt sheetId="1" sqref="AL334" start="0" length="0">
      <dxf>
        <font>
          <sz val="12"/>
          <color theme="1"/>
          <name val="Calibri"/>
          <family val="2"/>
          <charset val="238"/>
          <scheme val="minor"/>
        </font>
      </dxf>
    </rfmt>
    <rfmt sheetId="1" sqref="AL335" start="0" length="0">
      <dxf>
        <font>
          <sz val="12"/>
          <color theme="1"/>
          <name val="Calibri"/>
          <family val="2"/>
          <charset val="238"/>
          <scheme val="minor"/>
        </font>
      </dxf>
    </rfmt>
    <rfmt sheetId="1" sqref="AL336" start="0" length="0">
      <dxf>
        <font>
          <sz val="12"/>
          <color theme="1"/>
          <name val="Calibri"/>
          <family val="2"/>
          <charset val="238"/>
          <scheme val="minor"/>
        </font>
      </dxf>
    </rfmt>
    <rfmt sheetId="1" sqref="AL337" start="0" length="0">
      <dxf>
        <font>
          <sz val="12"/>
          <color theme="1"/>
          <name val="Calibri"/>
          <family val="2"/>
          <charset val="238"/>
          <scheme val="minor"/>
        </font>
      </dxf>
    </rfmt>
    <rfmt sheetId="1" sqref="AL338" start="0" length="0">
      <dxf>
        <font>
          <sz val="12"/>
          <color theme="1"/>
          <name val="Calibri"/>
          <family val="2"/>
          <charset val="238"/>
          <scheme val="minor"/>
        </font>
      </dxf>
    </rfmt>
    <rfmt sheetId="1" sqref="AL339" start="0" length="0">
      <dxf>
        <font>
          <sz val="12"/>
          <color theme="1"/>
          <name val="Calibri"/>
          <family val="2"/>
          <charset val="238"/>
          <scheme val="minor"/>
        </font>
      </dxf>
    </rfmt>
    <rfmt sheetId="1" sqref="AL340" start="0" length="0">
      <dxf>
        <font>
          <sz val="12"/>
          <color theme="1"/>
          <name val="Calibri"/>
          <family val="2"/>
          <charset val="238"/>
          <scheme val="minor"/>
        </font>
      </dxf>
    </rfmt>
    <rfmt sheetId="1" sqref="AL341" start="0" length="0">
      <dxf>
        <font>
          <sz val="12"/>
          <color theme="0"/>
          <name val="Calibri"/>
          <family val="2"/>
          <charset val="238"/>
          <scheme val="minor"/>
        </font>
      </dxf>
    </rfmt>
    <rfmt sheetId="1" sqref="AL342" start="0" length="0">
      <dxf>
        <font>
          <sz val="12"/>
          <color theme="0"/>
          <name val="Calibri"/>
          <family val="2"/>
          <charset val="238"/>
          <scheme val="minor"/>
        </font>
      </dxf>
    </rfmt>
    <rfmt sheetId="1" sqref="AL343" start="0" length="0">
      <dxf>
        <font>
          <sz val="12"/>
          <color theme="0"/>
          <name val="Calibri"/>
          <family val="2"/>
          <charset val="238"/>
          <scheme val="minor"/>
        </font>
      </dxf>
    </rfmt>
    <rfmt sheetId="1" sqref="AL344" start="0" length="0">
      <dxf>
        <font>
          <sz val="12"/>
          <color theme="0"/>
          <name val="Calibri"/>
          <family val="2"/>
          <charset val="238"/>
          <scheme val="minor"/>
        </font>
      </dxf>
    </rfmt>
    <rfmt sheetId="1" sqref="AL345" start="0" length="0">
      <dxf>
        <font>
          <sz val="12"/>
          <color theme="1"/>
          <name val="Calibri"/>
          <family val="2"/>
          <charset val="238"/>
          <scheme val="minor"/>
        </font>
      </dxf>
    </rfmt>
    <rfmt sheetId="1" sqref="AL346" start="0" length="0">
      <dxf>
        <font>
          <sz val="12"/>
          <color theme="1"/>
          <name val="Calibri"/>
          <family val="2"/>
          <charset val="238"/>
          <scheme val="minor"/>
        </font>
      </dxf>
    </rfmt>
    <rfmt sheetId="1" sqref="AL347" start="0" length="0">
      <dxf>
        <font>
          <sz val="12"/>
          <color theme="1"/>
          <name val="Calibri"/>
          <family val="2"/>
          <charset val="238"/>
          <scheme val="minor"/>
        </font>
      </dxf>
    </rfmt>
    <rfmt sheetId="1" sqref="AL348" start="0" length="0">
      <dxf>
        <font>
          <sz val="12"/>
          <color theme="1"/>
          <name val="Calibri"/>
          <family val="2"/>
          <charset val="238"/>
          <scheme val="minor"/>
        </font>
      </dxf>
    </rfmt>
    <rfmt sheetId="1" sqref="AL349" start="0" length="0">
      <dxf>
        <font>
          <sz val="12"/>
          <color theme="1"/>
          <name val="Calibri"/>
          <family val="2"/>
          <charset val="238"/>
          <scheme val="minor"/>
        </font>
      </dxf>
    </rfmt>
    <rfmt sheetId="1" sqref="AL350" start="0" length="0">
      <dxf>
        <font>
          <sz val="12"/>
          <color theme="1"/>
          <name val="Calibri"/>
          <family val="2"/>
          <charset val="238"/>
          <scheme val="minor"/>
        </font>
      </dxf>
    </rfmt>
    <rfmt sheetId="1" sqref="AL351" start="0" length="0">
      <dxf>
        <font>
          <sz val="12"/>
          <color theme="1"/>
          <name val="Calibri"/>
          <family val="2"/>
          <charset val="238"/>
          <scheme val="minor"/>
        </font>
      </dxf>
    </rfmt>
    <rfmt sheetId="1" sqref="AL352" start="0" length="0">
      <dxf>
        <font>
          <sz val="12"/>
          <color theme="0"/>
          <name val="Calibri"/>
          <family val="2"/>
          <charset val="238"/>
          <scheme val="minor"/>
        </font>
      </dxf>
    </rfmt>
    <rfmt sheetId="1" sqref="AL353" start="0" length="0">
      <dxf>
        <font>
          <sz val="12"/>
          <color theme="0"/>
          <name val="Calibri"/>
          <family val="2"/>
          <charset val="238"/>
          <scheme val="minor"/>
        </font>
      </dxf>
    </rfmt>
    <rfmt sheetId="1" sqref="AL354" start="0" length="0">
      <dxf>
        <font>
          <sz val="12"/>
          <color theme="0"/>
          <name val="Calibri"/>
          <family val="2"/>
          <charset val="238"/>
          <scheme val="minor"/>
        </font>
      </dxf>
    </rfmt>
    <rfmt sheetId="1" sqref="AL355" start="0" length="0">
      <dxf>
        <font>
          <sz val="12"/>
          <color theme="0"/>
          <name val="Calibri"/>
          <family val="2"/>
          <charset val="238"/>
          <scheme val="minor"/>
        </font>
      </dxf>
    </rfmt>
    <rfmt sheetId="1" sqref="AL356" start="0" length="0">
      <dxf>
        <font>
          <sz val="12"/>
          <color theme="1"/>
          <name val="Calibri"/>
          <family val="2"/>
          <charset val="238"/>
          <scheme val="minor"/>
        </font>
      </dxf>
    </rfmt>
    <rfmt sheetId="1" sqref="AL357" start="0" length="0">
      <dxf>
        <font>
          <sz val="12"/>
          <color theme="1"/>
          <name val="Calibri"/>
          <family val="2"/>
          <charset val="238"/>
          <scheme val="minor"/>
        </font>
      </dxf>
    </rfmt>
    <rfmt sheetId="1" sqref="AL358" start="0" length="0">
      <dxf>
        <font>
          <sz val="12"/>
          <color theme="1"/>
          <name val="Calibri"/>
          <family val="2"/>
          <charset val="238"/>
          <scheme val="minor"/>
        </font>
      </dxf>
    </rfmt>
    <rfmt sheetId="1" sqref="AL359" start="0" length="0">
      <dxf>
        <font>
          <sz val="12"/>
          <color theme="1"/>
          <name val="Calibri"/>
          <family val="2"/>
          <charset val="238"/>
          <scheme val="minor"/>
        </font>
      </dxf>
    </rfmt>
    <rfmt sheetId="1" sqref="AL360" start="0" length="0">
      <dxf>
        <font>
          <sz val="12"/>
          <color theme="1"/>
          <name val="Calibri"/>
          <family val="2"/>
          <charset val="238"/>
          <scheme val="minor"/>
        </font>
      </dxf>
    </rfmt>
    <rfmt sheetId="1" sqref="AL361" start="0" length="0">
      <dxf>
        <font>
          <sz val="12"/>
          <color theme="1"/>
          <name val="Calibri"/>
          <family val="2"/>
          <charset val="238"/>
          <scheme val="minor"/>
        </font>
      </dxf>
    </rfmt>
    <rfmt sheetId="1" sqref="AL362" start="0" length="0">
      <dxf>
        <font>
          <sz val="12"/>
          <color theme="1"/>
          <name val="Calibri"/>
          <family val="2"/>
          <charset val="238"/>
          <scheme val="minor"/>
        </font>
      </dxf>
    </rfmt>
    <rfmt sheetId="1" sqref="AL363" start="0" length="0">
      <dxf>
        <font>
          <sz val="12"/>
          <color theme="1"/>
          <name val="Calibri"/>
          <family val="2"/>
          <charset val="238"/>
          <scheme val="minor"/>
        </font>
      </dxf>
    </rfmt>
    <rfmt sheetId="1" sqref="AL364" start="0" length="0">
      <dxf>
        <font>
          <sz val="12"/>
          <color theme="1"/>
          <name val="Calibri"/>
          <family val="2"/>
          <charset val="238"/>
          <scheme val="minor"/>
        </font>
      </dxf>
    </rfmt>
    <rfmt sheetId="1" sqref="AL365" start="0" length="0">
      <dxf>
        <font>
          <sz val="12"/>
          <color theme="1"/>
          <name val="Calibri"/>
          <family val="2"/>
          <charset val="238"/>
          <scheme val="minor"/>
        </font>
      </dxf>
    </rfmt>
    <rfmt sheetId="1" sqref="AL366" start="0" length="0">
      <dxf>
        <font>
          <sz val="12"/>
          <color theme="1"/>
          <name val="Calibri"/>
          <family val="2"/>
          <charset val="238"/>
          <scheme val="minor"/>
        </font>
      </dxf>
    </rfmt>
    <rfmt sheetId="1" sqref="AL367" start="0" length="0">
      <dxf>
        <font>
          <sz val="12"/>
          <color theme="1"/>
          <name val="Calibri"/>
          <family val="2"/>
          <charset val="238"/>
          <scheme val="minor"/>
        </font>
      </dxf>
    </rfmt>
    <rfmt sheetId="1" sqref="AL368" start="0" length="0">
      <dxf>
        <font>
          <sz val="12"/>
          <color theme="1"/>
          <name val="Calibri"/>
          <family val="2"/>
          <charset val="238"/>
          <scheme val="minor"/>
        </font>
      </dxf>
    </rfmt>
    <rfmt sheetId="1" sqref="AL369" start="0" length="0">
      <dxf>
        <font>
          <sz val="12"/>
          <color theme="1"/>
          <name val="Calibri"/>
          <family val="2"/>
          <charset val="238"/>
          <scheme val="minor"/>
        </font>
      </dxf>
    </rfmt>
    <rfmt sheetId="1" sqref="AL370" start="0" length="0">
      <dxf>
        <font>
          <sz val="12"/>
          <color theme="1"/>
          <name val="Calibri"/>
          <family val="2"/>
          <charset val="238"/>
          <scheme val="minor"/>
        </font>
      </dxf>
    </rfmt>
    <rfmt sheetId="1" sqref="AL371" start="0" length="0">
      <dxf>
        <font>
          <sz val="12"/>
          <color theme="1"/>
          <name val="Calibri"/>
          <family val="2"/>
          <charset val="238"/>
          <scheme val="minor"/>
        </font>
      </dxf>
    </rfmt>
    <rfmt sheetId="1" sqref="AL372" start="0" length="0">
      <dxf>
        <font>
          <sz val="12"/>
          <color theme="1"/>
          <name val="Calibri"/>
          <family val="2"/>
          <charset val="238"/>
          <scheme val="minor"/>
        </font>
      </dxf>
    </rfmt>
    <rfmt sheetId="1" sqref="AL373" start="0" length="0">
      <dxf>
        <font>
          <sz val="12"/>
          <color theme="1"/>
          <name val="Calibri"/>
          <family val="2"/>
          <charset val="238"/>
          <scheme val="minor"/>
        </font>
      </dxf>
    </rfmt>
    <rfmt sheetId="1" sqref="AL374" start="0" length="0">
      <dxf>
        <font>
          <sz val="12"/>
          <color theme="1"/>
          <name val="Calibri"/>
          <family val="2"/>
          <charset val="238"/>
          <scheme val="minor"/>
        </font>
      </dxf>
    </rfmt>
    <rfmt sheetId="1" sqref="AL375" start="0" length="0">
      <dxf>
        <font>
          <sz val="12"/>
          <color theme="1"/>
          <name val="Calibri"/>
          <family val="2"/>
          <charset val="238"/>
          <scheme val="minor"/>
        </font>
      </dxf>
    </rfmt>
    <rfmt sheetId="1" sqref="AL376" start="0" length="0">
      <dxf>
        <font>
          <sz val="12"/>
          <color theme="1"/>
          <name val="Calibri"/>
          <family val="2"/>
          <charset val="238"/>
          <scheme val="minor"/>
        </font>
      </dxf>
    </rfmt>
    <rfmt sheetId="1" sqref="AL377" start="0" length="0">
      <dxf>
        <font>
          <sz val="12"/>
          <color theme="1"/>
          <name val="Calibri"/>
          <family val="2"/>
          <charset val="238"/>
          <scheme val="minor"/>
        </font>
      </dxf>
    </rfmt>
    <rfmt sheetId="1" sqref="AL378" start="0" length="0">
      <dxf>
        <font>
          <sz val="12"/>
          <color theme="1"/>
          <name val="Calibri"/>
          <family val="2"/>
          <charset val="238"/>
          <scheme val="minor"/>
        </font>
      </dxf>
    </rfmt>
    <rfmt sheetId="1" sqref="AL379" start="0" length="0">
      <dxf>
        <font>
          <sz val="12"/>
          <color theme="1"/>
          <name val="Calibri"/>
          <family val="2"/>
          <charset val="238"/>
          <scheme val="minor"/>
        </font>
      </dxf>
    </rfmt>
    <rfmt sheetId="1" sqref="AL380" start="0" length="0">
      <dxf>
        <font>
          <sz val="12"/>
          <color theme="1"/>
          <name val="Calibri"/>
          <family val="2"/>
          <charset val="238"/>
          <scheme val="minor"/>
        </font>
      </dxf>
    </rfmt>
    <rfmt sheetId="1" sqref="AL381" start="0" length="0">
      <dxf>
        <font>
          <sz val="12"/>
          <color theme="1"/>
          <name val="Calibri"/>
          <family val="2"/>
          <charset val="238"/>
          <scheme val="minor"/>
        </font>
      </dxf>
    </rfmt>
    <rfmt sheetId="1" sqref="AL382"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383"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384"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385"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386" start="0" length="0">
      <dxf>
        <font>
          <sz val="12"/>
          <color theme="1"/>
          <name val="Calibri"/>
          <family val="2"/>
          <charset val="238"/>
          <scheme val="minor"/>
        </font>
      </dxf>
    </rfmt>
    <rfmt sheetId="1" sqref="AL387"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388" start="0" length="0">
      <dxf>
        <font>
          <sz val="12"/>
          <color theme="1"/>
          <name val="Calibri"/>
          <family val="2"/>
          <charset val="238"/>
          <scheme val="minor"/>
        </font>
      </dxf>
    </rfmt>
    <rfmt sheetId="1" sqref="AL389" start="0" length="0">
      <dxf>
        <font>
          <sz val="12"/>
          <color theme="1"/>
          <name val="Calibri"/>
          <family val="2"/>
          <charset val="238"/>
          <scheme val="minor"/>
        </font>
      </dxf>
    </rfmt>
    <rfmt sheetId="1" sqref="AL390" start="0" length="0">
      <dxf>
        <font>
          <sz val="12"/>
          <color theme="1"/>
          <name val="Calibri"/>
          <family val="2"/>
          <charset val="238"/>
          <scheme val="minor"/>
        </font>
      </dxf>
    </rfmt>
    <rfmt sheetId="1" sqref="AL391" start="0" length="0">
      <dxf>
        <font>
          <sz val="12"/>
          <color theme="1"/>
          <name val="Calibri"/>
          <family val="2"/>
          <charset val="238"/>
          <scheme val="minor"/>
        </font>
      </dxf>
    </rfmt>
    <rfmt sheetId="1" sqref="AL392" start="0" length="0">
      <dxf>
        <font>
          <sz val="12"/>
          <color theme="1"/>
          <name val="Calibri"/>
          <family val="2"/>
          <charset val="238"/>
          <scheme val="minor"/>
        </font>
      </dxf>
    </rfmt>
    <rfmt sheetId="1" sqref="AL393" start="0" length="0">
      <dxf>
        <font>
          <sz val="12"/>
          <color theme="1"/>
          <name val="Calibri"/>
          <family val="2"/>
          <charset val="238"/>
          <scheme val="minor"/>
        </font>
      </dxf>
    </rfmt>
    <rfmt sheetId="1" sqref="AL394" start="0" length="0">
      <dxf>
        <font>
          <sz val="12"/>
          <color theme="1"/>
          <name val="Calibri"/>
          <family val="2"/>
          <charset val="238"/>
          <scheme val="minor"/>
        </font>
      </dxf>
    </rfmt>
    <rfmt sheetId="1" sqref="AL395" start="0" length="0">
      <dxf>
        <font>
          <sz val="12"/>
          <color theme="1"/>
          <name val="Calibri"/>
          <family val="2"/>
          <charset val="238"/>
          <scheme val="minor"/>
        </font>
      </dxf>
    </rfmt>
    <rfmt sheetId="1" sqref="AL396" start="0" length="0">
      <dxf>
        <font>
          <sz val="12"/>
          <color theme="1"/>
          <name val="Calibri"/>
          <family val="2"/>
          <charset val="238"/>
          <scheme val="minor"/>
        </font>
      </dxf>
    </rfmt>
    <rfmt sheetId="1" sqref="AL397" start="0" length="0">
      <dxf>
        <font>
          <sz val="12"/>
          <color theme="1"/>
          <name val="Calibri"/>
          <family val="2"/>
          <charset val="238"/>
          <scheme val="minor"/>
        </font>
      </dxf>
    </rfmt>
    <rfmt sheetId="1" sqref="AL398" start="0" length="0">
      <dxf>
        <font>
          <sz val="12"/>
          <color theme="1"/>
          <name val="Calibri"/>
          <family val="2"/>
          <charset val="238"/>
          <scheme val="minor"/>
        </font>
      </dxf>
    </rfmt>
    <rfmt sheetId="1" sqref="AL400" start="0" length="0">
      <dxf>
        <font>
          <sz val="12"/>
          <color theme="1"/>
          <name val="Calibri"/>
          <family val="2"/>
          <charset val="238"/>
          <scheme val="minor"/>
        </font>
      </dxf>
    </rfmt>
    <rfmt sheetId="1" sqref="AL401" start="0" length="0">
      <dxf>
        <font>
          <sz val="12"/>
          <color theme="1"/>
          <name val="Calibri"/>
          <family val="2"/>
          <charset val="238"/>
          <scheme val="minor"/>
        </font>
      </dxf>
    </rfmt>
    <rfmt sheetId="1" sqref="AL402" start="0" length="0">
      <dxf>
        <font>
          <sz val="12"/>
          <color theme="1"/>
          <name val="Calibri"/>
          <family val="2"/>
          <charset val="238"/>
          <scheme val="minor"/>
        </font>
      </dxf>
    </rfmt>
    <rfmt sheetId="1" sqref="AL403" start="0" length="0">
      <dxf>
        <font>
          <sz val="12"/>
          <color theme="1"/>
          <name val="Calibri"/>
          <family val="2"/>
          <charset val="238"/>
          <scheme val="minor"/>
        </font>
      </dxf>
    </rfmt>
    <rfmt sheetId="1" sqref="AL404" start="0" length="0">
      <dxf>
        <font>
          <sz val="12"/>
          <color theme="1"/>
          <name val="Calibri"/>
          <family val="2"/>
          <charset val="238"/>
          <scheme val="minor"/>
        </font>
      </dxf>
    </rfmt>
    <rfmt sheetId="1" sqref="AL405" start="0" length="0">
      <dxf>
        <font>
          <sz val="12"/>
          <color theme="1"/>
          <name val="Calibri"/>
          <family val="2"/>
          <charset val="238"/>
          <scheme val="minor"/>
        </font>
      </dxf>
    </rfmt>
    <rfmt sheetId="1" sqref="AL406" start="0" length="0">
      <dxf>
        <font>
          <sz val="12"/>
          <color theme="1"/>
          <name val="Calibri"/>
          <family val="2"/>
          <charset val="238"/>
          <scheme val="minor"/>
        </font>
      </dxf>
    </rfmt>
    <rfmt sheetId="1" sqref="AL407" start="0" length="0">
      <dxf>
        <font>
          <sz val="12"/>
          <color theme="1"/>
          <name val="Calibri"/>
          <family val="2"/>
          <charset val="238"/>
          <scheme val="minor"/>
        </font>
      </dxf>
    </rfmt>
    <rfmt sheetId="1" sqref="AL408" start="0" length="0">
      <dxf>
        <font>
          <sz val="12"/>
          <color theme="1"/>
          <name val="Calibri"/>
          <family val="2"/>
          <charset val="238"/>
          <scheme val="minor"/>
        </font>
      </dxf>
    </rfmt>
    <rfmt sheetId="1" sqref="AL409" start="0" length="0">
      <dxf>
        <font>
          <sz val="12"/>
          <color theme="1"/>
          <name val="Calibri"/>
          <family val="2"/>
          <charset val="238"/>
          <scheme val="minor"/>
        </font>
      </dxf>
    </rfmt>
    <rfmt sheetId="1" sqref="AL410" start="0" length="0">
      <dxf>
        <font>
          <sz val="12"/>
          <color theme="1"/>
          <name val="Calibri"/>
          <family val="2"/>
          <charset val="238"/>
          <scheme val="minor"/>
        </font>
      </dxf>
    </rfmt>
    <rfmt sheetId="1" sqref="AL411" start="0" length="0">
      <dxf>
        <font>
          <sz val="12"/>
          <color theme="1"/>
          <name val="Calibri"/>
          <family val="2"/>
          <charset val="238"/>
          <scheme val="minor"/>
        </font>
      </dxf>
    </rfmt>
    <rfmt sheetId="1" sqref="AL412" start="0" length="0">
      <dxf>
        <font>
          <sz val="12"/>
          <color theme="1"/>
          <name val="Calibri"/>
          <family val="2"/>
          <charset val="238"/>
          <scheme val="minor"/>
        </font>
      </dxf>
    </rfmt>
    <rfmt sheetId="1" sqref="AL413" start="0" length="0">
      <dxf>
        <font>
          <sz val="12"/>
          <color theme="1"/>
          <name val="Calibri"/>
          <family val="2"/>
          <charset val="238"/>
          <scheme val="minor"/>
        </font>
      </dxf>
    </rfmt>
    <rfmt sheetId="1" sqref="AL414" start="0" length="0">
      <dxf>
        <font>
          <sz val="12"/>
          <color theme="1"/>
          <name val="Calibri"/>
          <family val="2"/>
          <charset val="238"/>
          <scheme val="minor"/>
        </font>
      </dxf>
    </rfmt>
    <rfmt sheetId="1" sqref="AL415" start="0" length="0">
      <dxf>
        <font>
          <sz val="12"/>
          <color theme="1"/>
          <name val="Calibri"/>
          <family val="2"/>
          <charset val="238"/>
          <scheme val="minor"/>
        </font>
      </dxf>
    </rfmt>
    <rfmt sheetId="1" sqref="AL416" start="0" length="0">
      <dxf>
        <font>
          <sz val="12"/>
          <color theme="1"/>
          <name val="Calibri"/>
          <family val="2"/>
          <charset val="238"/>
          <scheme val="minor"/>
        </font>
      </dxf>
    </rfmt>
    <rfmt sheetId="1" sqref="AL417" start="0" length="0">
      <dxf>
        <font>
          <sz val="12"/>
          <color theme="1"/>
          <name val="Calibri"/>
          <family val="2"/>
          <charset val="238"/>
          <scheme val="minor"/>
        </font>
      </dxf>
    </rfmt>
    <rfmt sheetId="1" sqref="AL418" start="0" length="0">
      <dxf>
        <font>
          <sz val="12"/>
          <color theme="1"/>
          <name val="Calibri"/>
          <family val="2"/>
          <charset val="238"/>
          <scheme val="minor"/>
        </font>
      </dxf>
    </rfmt>
    <rfmt sheetId="1" sqref="AL419" start="0" length="0">
      <dxf>
        <font>
          <sz val="12"/>
          <color theme="1"/>
          <name val="Calibri"/>
          <family val="2"/>
          <charset val="238"/>
          <scheme val="minor"/>
        </font>
      </dxf>
    </rfmt>
    <rfmt sheetId="1" sqref="AL420" start="0" length="0">
      <dxf>
        <font>
          <sz val="12"/>
          <color theme="1"/>
          <name val="Calibri"/>
          <family val="2"/>
          <charset val="238"/>
          <scheme val="minor"/>
        </font>
      </dxf>
    </rfmt>
    <rfmt sheetId="1" sqref="AL421" start="0" length="0">
      <dxf>
        <font>
          <sz val="12"/>
          <color theme="1"/>
          <name val="Calibri"/>
          <family val="2"/>
          <charset val="238"/>
          <scheme val="minor"/>
        </font>
      </dxf>
    </rfmt>
    <rfmt sheetId="1" sqref="AL422" start="0" length="0">
      <dxf>
        <font>
          <sz val="12"/>
          <color theme="1"/>
          <name val="Calibri"/>
          <family val="2"/>
          <charset val="238"/>
          <scheme val="minor"/>
        </font>
      </dxf>
    </rfmt>
    <rfmt sheetId="1" sqref="AL423" start="0" length="0">
      <dxf>
        <font>
          <sz val="12"/>
          <color theme="1"/>
          <name val="Calibri"/>
          <family val="2"/>
          <charset val="238"/>
          <scheme val="minor"/>
        </font>
      </dxf>
    </rfmt>
    <rfmt sheetId="1" sqref="AL424" start="0" length="0">
      <dxf>
        <font>
          <sz val="12"/>
          <color theme="1"/>
          <name val="Calibri"/>
          <family val="2"/>
          <charset val="238"/>
          <scheme val="minor"/>
        </font>
      </dxf>
    </rfmt>
    <rfmt sheetId="1" sqref="AL425" start="0" length="0">
      <dxf>
        <font>
          <sz val="12"/>
          <color theme="1"/>
          <name val="Calibri"/>
          <family val="2"/>
          <charset val="238"/>
          <scheme val="minor"/>
        </font>
      </dxf>
    </rfmt>
    <rfmt sheetId="1" sqref="AL426" start="0" length="0">
      <dxf>
        <font>
          <sz val="12"/>
          <color theme="1"/>
          <name val="Calibri"/>
          <family val="2"/>
          <charset val="238"/>
          <scheme val="minor"/>
        </font>
      </dxf>
    </rfmt>
    <rfmt sheetId="1" sqref="AL427" start="0" length="0">
      <dxf>
        <font>
          <sz val="12"/>
          <color theme="1"/>
          <name val="Calibri"/>
          <family val="2"/>
          <charset val="238"/>
          <scheme val="minor"/>
        </font>
      </dxf>
    </rfmt>
    <rfmt sheetId="1" sqref="AL428" start="0" length="0">
      <dxf>
        <font>
          <sz val="12"/>
          <color theme="1"/>
          <name val="Calibri"/>
          <family val="2"/>
          <charset val="238"/>
          <scheme val="minor"/>
        </font>
      </dxf>
    </rfmt>
    <rfmt sheetId="1" sqref="AL429" start="0" length="0">
      <dxf>
        <font>
          <sz val="12"/>
          <color theme="1"/>
          <name val="Calibri"/>
          <family val="2"/>
          <charset val="238"/>
          <scheme val="minor"/>
        </font>
      </dxf>
    </rfmt>
    <rfmt sheetId="1" sqref="AL430" start="0" length="0">
      <dxf>
        <font>
          <sz val="12"/>
          <color theme="1"/>
          <name val="Calibri"/>
          <family val="2"/>
          <charset val="238"/>
          <scheme val="minor"/>
        </font>
      </dxf>
    </rfmt>
    <rfmt sheetId="1" sqref="AL431" start="0" length="0">
      <dxf>
        <font>
          <sz val="12"/>
          <color theme="1"/>
          <name val="Calibri"/>
          <family val="2"/>
          <charset val="238"/>
          <scheme val="minor"/>
        </font>
      </dxf>
    </rfmt>
    <rfmt sheetId="1" sqref="AL432" start="0" length="0">
      <dxf>
        <font>
          <sz val="12"/>
          <color theme="1"/>
          <name val="Calibri"/>
          <family val="2"/>
          <charset val="238"/>
          <scheme val="minor"/>
        </font>
      </dxf>
    </rfmt>
    <rfmt sheetId="1" sqref="AL433" start="0" length="0">
      <dxf>
        <font>
          <sz val="12"/>
          <color theme="1"/>
          <name val="Calibri"/>
          <family val="2"/>
          <charset val="238"/>
          <scheme val="minor"/>
        </font>
      </dxf>
    </rfmt>
    <rfmt sheetId="1" sqref="AL434" start="0" length="0">
      <dxf>
        <font>
          <sz val="12"/>
          <color theme="1"/>
          <name val="Calibri"/>
          <family val="2"/>
          <charset val="238"/>
          <scheme val="minor"/>
        </font>
      </dxf>
    </rfmt>
    <rfmt sheetId="1" sqref="AL435" start="0" length="0">
      <dxf>
        <font>
          <sz val="12"/>
          <color theme="1"/>
          <name val="Calibri"/>
          <family val="2"/>
          <charset val="238"/>
          <scheme val="minor"/>
        </font>
      </dxf>
    </rfmt>
    <rfmt sheetId="1" sqref="AL436" start="0" length="0">
      <dxf>
        <font>
          <sz val="12"/>
          <color theme="1"/>
          <name val="Calibri"/>
          <family val="2"/>
          <charset val="238"/>
          <scheme val="minor"/>
        </font>
      </dxf>
    </rfmt>
    <rfmt sheetId="1" sqref="AL437" start="0" length="0">
      <dxf>
        <font>
          <sz val="12"/>
          <color theme="1"/>
          <name val="Calibri"/>
          <family val="2"/>
          <charset val="238"/>
          <scheme val="minor"/>
        </font>
      </dxf>
    </rfmt>
    <rfmt sheetId="1" sqref="AL438" start="0" length="0">
      <dxf>
        <font>
          <sz val="12"/>
          <color theme="1"/>
          <name val="Calibri"/>
          <family val="2"/>
          <charset val="238"/>
          <scheme val="minor"/>
        </font>
      </dxf>
    </rfmt>
    <rfmt sheetId="1" sqref="AL439" start="0" length="0">
      <dxf>
        <font>
          <sz val="12"/>
          <color theme="1"/>
          <name val="Calibri"/>
          <family val="2"/>
          <charset val="238"/>
          <scheme val="minor"/>
        </font>
      </dxf>
    </rfmt>
    <rfmt sheetId="1" sqref="AL440" start="0" length="0">
      <dxf>
        <font>
          <sz val="12"/>
          <color theme="1"/>
          <name val="Calibri"/>
          <family val="2"/>
          <charset val="238"/>
          <scheme val="minor"/>
        </font>
      </dxf>
    </rfmt>
    <rfmt sheetId="1" sqref="AL441" start="0" length="0">
      <dxf>
        <font>
          <sz val="12"/>
          <color theme="1"/>
          <name val="Calibri"/>
          <family val="2"/>
          <charset val="238"/>
          <scheme val="minor"/>
        </font>
      </dxf>
    </rfmt>
    <rfmt sheetId="1" sqref="AL442" start="0" length="0">
      <dxf>
        <font>
          <sz val="12"/>
          <color theme="1"/>
          <name val="Calibri"/>
          <family val="2"/>
          <charset val="238"/>
          <scheme val="minor"/>
        </font>
      </dxf>
    </rfmt>
    <rfmt sheetId="1" sqref="AL443" start="0" length="0">
      <dxf>
        <font>
          <sz val="12"/>
          <color theme="1"/>
          <name val="Calibri"/>
          <family val="2"/>
          <charset val="238"/>
          <scheme val="minor"/>
        </font>
      </dxf>
    </rfmt>
    <rfmt sheetId="1" sqref="AL444" start="0" length="0">
      <dxf>
        <font>
          <sz val="12"/>
          <color theme="1"/>
          <name val="Calibri"/>
          <family val="2"/>
          <charset val="238"/>
          <scheme val="minor"/>
        </font>
      </dxf>
    </rfmt>
    <rfmt sheetId="1" sqref="AL445" start="0" length="0">
      <dxf>
        <font>
          <sz val="12"/>
          <color theme="1"/>
          <name val="Calibri"/>
          <family val="2"/>
          <charset val="238"/>
          <scheme val="minor"/>
        </font>
      </dxf>
    </rfmt>
    <rfmt sheetId="1" sqref="AL446" start="0" length="0">
      <dxf>
        <font>
          <sz val="12"/>
          <color theme="1"/>
          <name val="Calibri"/>
          <family val="2"/>
          <charset val="238"/>
          <scheme val="minor"/>
        </font>
      </dxf>
    </rfmt>
    <rfmt sheetId="1" sqref="AL447" start="0" length="0">
      <dxf>
        <font>
          <sz val="12"/>
          <color theme="1"/>
          <name val="Calibri"/>
          <family val="2"/>
          <charset val="238"/>
          <scheme val="minor"/>
        </font>
      </dxf>
    </rfmt>
    <rfmt sheetId="1" sqref="AL448" start="0" length="0">
      <dxf>
        <font>
          <sz val="12"/>
          <color theme="1"/>
          <name val="Calibri"/>
          <family val="2"/>
          <charset val="238"/>
          <scheme val="minor"/>
        </font>
      </dxf>
    </rfmt>
    <rfmt sheetId="1" sqref="AL449" start="0" length="0">
      <dxf>
        <font>
          <sz val="12"/>
          <color theme="1"/>
          <name val="Calibri"/>
          <family val="2"/>
          <charset val="238"/>
          <scheme val="minor"/>
        </font>
      </dxf>
    </rfmt>
    <rfmt sheetId="1" sqref="AL450" start="0" length="0">
      <dxf>
        <font>
          <sz val="12"/>
          <color theme="1"/>
          <name val="Calibri"/>
          <family val="2"/>
          <charset val="238"/>
          <scheme val="minor"/>
        </font>
      </dxf>
    </rfmt>
    <rfmt sheetId="1" sqref="AL451" start="0" length="0">
      <dxf>
        <font>
          <sz val="12"/>
          <color theme="1"/>
          <name val="Calibri"/>
          <family val="2"/>
          <charset val="238"/>
          <scheme val="minor"/>
        </font>
      </dxf>
    </rfmt>
    <rfmt sheetId="1" sqref="AL452" start="0" length="0">
      <dxf>
        <font>
          <sz val="12"/>
          <color theme="1"/>
          <name val="Calibri"/>
          <family val="2"/>
          <charset val="238"/>
          <scheme val="minor"/>
        </font>
      </dxf>
    </rfmt>
    <rfmt sheetId="1" sqref="AL453" start="0" length="0">
      <dxf>
        <font>
          <sz val="12"/>
          <color theme="1"/>
          <name val="Calibri"/>
          <family val="2"/>
          <charset val="238"/>
          <scheme val="minor"/>
        </font>
      </dxf>
    </rfmt>
    <rfmt sheetId="1" sqref="AL454" start="0" length="0">
      <dxf>
        <font>
          <sz val="12"/>
          <color theme="1"/>
          <name val="Calibri"/>
          <family val="2"/>
          <charset val="238"/>
          <scheme val="minor"/>
        </font>
      </dxf>
    </rfmt>
    <rfmt sheetId="1" sqref="AL455" start="0" length="0">
      <dxf>
        <font>
          <sz val="12"/>
          <color theme="1"/>
          <name val="Calibri"/>
          <family val="2"/>
          <charset val="238"/>
          <scheme val="minor"/>
        </font>
      </dxf>
    </rfmt>
    <rfmt sheetId="1" sqref="AL456" start="0" length="0">
      <dxf>
        <font>
          <sz val="12"/>
          <color theme="1"/>
          <name val="Calibri"/>
          <family val="2"/>
          <charset val="238"/>
          <scheme val="minor"/>
        </font>
      </dxf>
    </rfmt>
    <rfmt sheetId="1" sqref="AL457" start="0" length="0">
      <dxf>
        <font>
          <sz val="12"/>
          <color theme="1"/>
          <name val="Calibri"/>
          <family val="2"/>
          <charset val="238"/>
          <scheme val="minor"/>
        </font>
      </dxf>
    </rfmt>
    <rfmt sheetId="1" sqref="AL458" start="0" length="0">
      <dxf>
        <font>
          <sz val="12"/>
          <color theme="1"/>
          <name val="Calibri"/>
          <family val="2"/>
          <charset val="238"/>
          <scheme val="minor"/>
        </font>
        <numFmt numFmtId="19" formatCode="dd/mm/yyyy"/>
      </dxf>
    </rfmt>
    <rfmt sheetId="1" sqref="AL459" start="0" length="0">
      <dxf>
        <font>
          <sz val="12"/>
          <color theme="1"/>
          <name val="Calibri"/>
          <family val="2"/>
          <charset val="238"/>
          <scheme val="minor"/>
        </font>
      </dxf>
    </rfmt>
    <rfmt sheetId="1" sqref="AL460" start="0" length="0">
      <dxf>
        <font>
          <sz val="12"/>
          <color theme="1"/>
          <name val="Calibri"/>
          <family val="2"/>
          <charset val="238"/>
          <scheme val="minor"/>
        </font>
      </dxf>
    </rfmt>
    <rfmt sheetId="1" sqref="AL461" start="0" length="0">
      <dxf>
        <font>
          <sz val="12"/>
          <color theme="1"/>
          <name val="Calibri"/>
          <family val="2"/>
          <charset val="238"/>
          <scheme val="minor"/>
        </font>
      </dxf>
    </rfmt>
    <rfmt sheetId="1" sqref="AL462" start="0" length="0">
      <dxf>
        <font>
          <sz val="12"/>
          <color theme="1"/>
          <name val="Calibri"/>
          <family val="2"/>
          <charset val="238"/>
          <scheme val="minor"/>
        </font>
      </dxf>
    </rfmt>
    <rfmt sheetId="1" sqref="AL463" start="0" length="0">
      <dxf>
        <font>
          <sz val="12"/>
          <color theme="1"/>
          <name val="Calibri"/>
          <family val="2"/>
          <charset val="238"/>
          <scheme val="minor"/>
        </font>
      </dxf>
    </rfmt>
    <rfmt sheetId="1" sqref="AL464" start="0" length="0">
      <dxf>
        <font>
          <sz val="12"/>
          <color theme="1"/>
          <name val="Calibri"/>
          <family val="2"/>
          <charset val="238"/>
          <scheme val="minor"/>
        </font>
      </dxf>
    </rfmt>
    <rfmt sheetId="1" sqref="AL465" start="0" length="0">
      <dxf>
        <font>
          <sz val="12"/>
          <color theme="1"/>
          <name val="Calibri"/>
          <family val="2"/>
          <charset val="238"/>
          <scheme val="minor"/>
        </font>
      </dxf>
    </rfmt>
    <rfmt sheetId="1" sqref="AL466" start="0" length="0">
      <dxf>
        <font>
          <sz val="12"/>
          <color theme="1"/>
          <name val="Calibri"/>
          <family val="2"/>
          <charset val="238"/>
          <scheme val="minor"/>
        </font>
      </dxf>
    </rfmt>
    <rfmt sheetId="1" sqref="AL467" start="0" length="0">
      <dxf>
        <font>
          <sz val="12"/>
          <color theme="1"/>
          <name val="Calibri"/>
          <family val="2"/>
          <charset val="238"/>
          <scheme val="minor"/>
        </font>
      </dxf>
    </rfmt>
    <rfmt sheetId="1" sqref="AL468" start="0" length="0">
      <dxf>
        <font>
          <sz val="12"/>
          <color theme="1"/>
          <name val="Calibri"/>
          <family val="2"/>
          <charset val="238"/>
          <scheme val="minor"/>
        </font>
      </dxf>
    </rfmt>
    <rfmt sheetId="1" sqref="AL469" start="0" length="0">
      <dxf>
        <font>
          <sz val="12"/>
          <color theme="1"/>
          <name val="Calibri"/>
          <family val="2"/>
          <charset val="238"/>
          <scheme val="minor"/>
        </font>
      </dxf>
    </rfmt>
    <rfmt sheetId="1" sqref="AL470" start="0" length="0">
      <dxf>
        <font>
          <sz val="12"/>
          <color theme="1"/>
          <name val="Calibri"/>
          <family val="2"/>
          <charset val="238"/>
          <scheme val="minor"/>
        </font>
      </dxf>
    </rfmt>
    <rfmt sheetId="1" sqref="AL471" start="0" length="0">
      <dxf>
        <font>
          <sz val="12"/>
          <color theme="1"/>
          <name val="Calibri"/>
          <family val="2"/>
          <charset val="238"/>
          <scheme val="minor"/>
        </font>
      </dxf>
    </rfmt>
    <rfmt sheetId="1" sqref="AL472" start="0" length="0">
      <dxf>
        <font>
          <sz val="12"/>
          <color theme="1"/>
          <name val="Calibri"/>
          <family val="2"/>
          <charset val="238"/>
          <scheme val="minor"/>
        </font>
      </dxf>
    </rfmt>
    <rfmt sheetId="1" sqref="AL473" start="0" length="0">
      <dxf>
        <font>
          <sz val="12"/>
          <color theme="1"/>
          <name val="Calibri"/>
          <family val="2"/>
          <charset val="238"/>
          <scheme val="minor"/>
        </font>
      </dxf>
    </rfmt>
    <rfmt sheetId="1" sqref="AL474" start="0" length="0">
      <dxf>
        <font>
          <sz val="12"/>
          <color theme="1"/>
          <name val="Calibri"/>
          <family val="2"/>
          <charset val="238"/>
          <scheme val="minor"/>
        </font>
      </dxf>
    </rfmt>
    <rfmt sheetId="1" sqref="AL475" start="0" length="0">
      <dxf>
        <font>
          <sz val="12"/>
          <color theme="1"/>
          <name val="Calibri"/>
          <family val="2"/>
          <charset val="238"/>
          <scheme val="minor"/>
        </font>
      </dxf>
    </rfmt>
    <rfmt sheetId="1" sqref="AL476" start="0" length="0">
      <dxf>
        <font>
          <sz val="12"/>
          <color theme="1"/>
          <name val="Calibri"/>
          <family val="2"/>
          <charset val="238"/>
          <scheme val="minor"/>
        </font>
      </dxf>
    </rfmt>
    <rfmt sheetId="1" sqref="AL477" start="0" length="0">
      <dxf>
        <font>
          <sz val="12"/>
          <color theme="1"/>
          <name val="Calibri"/>
          <family val="2"/>
          <charset val="238"/>
          <scheme val="minor"/>
        </font>
      </dxf>
    </rfmt>
    <rfmt sheetId="1" sqref="AL478" start="0" length="0">
      <dxf>
        <font>
          <sz val="12"/>
          <color theme="1"/>
          <name val="Calibri"/>
          <family val="2"/>
          <charset val="238"/>
          <scheme val="minor"/>
        </font>
      </dxf>
    </rfmt>
    <rfmt sheetId="1" sqref="AL479" start="0" length="0">
      <dxf>
        <font>
          <sz val="12"/>
          <color theme="1"/>
          <name val="Calibri"/>
          <family val="2"/>
          <charset val="238"/>
          <scheme val="minor"/>
        </font>
      </dxf>
    </rfmt>
    <rfmt sheetId="1" sqref="AL480" start="0" length="0">
      <dxf>
        <font>
          <sz val="12"/>
          <color theme="1"/>
          <name val="Calibri"/>
          <family val="2"/>
          <charset val="238"/>
          <scheme val="minor"/>
        </font>
      </dxf>
    </rfmt>
    <rfmt sheetId="1" sqref="AL481" start="0" length="0">
      <dxf>
        <font>
          <sz val="12"/>
          <color theme="1"/>
          <name val="Calibri"/>
          <family val="2"/>
          <charset val="238"/>
          <scheme val="minor"/>
        </font>
      </dxf>
    </rfmt>
    <rfmt sheetId="1" sqref="AL482" start="0" length="0">
      <dxf>
        <font>
          <sz val="12"/>
          <color theme="1"/>
          <name val="Calibri"/>
          <family val="2"/>
          <charset val="238"/>
          <scheme val="minor"/>
        </font>
      </dxf>
    </rfmt>
    <rfmt sheetId="1" sqref="AL483" start="0" length="0">
      <dxf>
        <font>
          <sz val="12"/>
          <color theme="1"/>
          <name val="Calibri"/>
          <family val="2"/>
          <charset val="238"/>
          <scheme val="minor"/>
        </font>
      </dxf>
    </rfmt>
    <rfmt sheetId="1" sqref="AL484" start="0" length="0">
      <dxf>
        <font>
          <sz val="12"/>
          <color theme="1"/>
          <name val="Calibri"/>
          <family val="2"/>
          <charset val="238"/>
          <scheme val="minor"/>
        </font>
      </dxf>
    </rfmt>
    <rfmt sheetId="1" sqref="AL485" start="0" length="0">
      <dxf>
        <font>
          <sz val="12"/>
          <color theme="1"/>
          <name val="Calibri"/>
          <family val="2"/>
          <charset val="238"/>
          <scheme val="minor"/>
        </font>
      </dxf>
    </rfmt>
    <rfmt sheetId="1" sqref="AL486" start="0" length="0">
      <dxf>
        <font>
          <sz val="12"/>
          <color theme="1"/>
          <name val="Calibri"/>
          <family val="2"/>
          <charset val="238"/>
          <scheme val="minor"/>
        </font>
      </dxf>
    </rfmt>
    <rfmt sheetId="1" sqref="AL487" start="0" length="0">
      <dxf>
        <font>
          <sz val="12"/>
          <color theme="1"/>
          <name val="Calibri"/>
          <family val="2"/>
          <charset val="238"/>
          <scheme val="minor"/>
        </font>
      </dxf>
    </rfmt>
    <rfmt sheetId="1" sqref="AL488" start="0" length="0">
      <dxf>
        <font>
          <sz val="12"/>
          <color theme="1"/>
          <name val="Calibri"/>
          <family val="2"/>
          <charset val="238"/>
          <scheme val="minor"/>
        </font>
      </dxf>
    </rfmt>
    <rfmt sheetId="1" sqref="AL489" start="0" length="0">
      <dxf>
        <font>
          <sz val="12"/>
          <color theme="1"/>
          <name val="Calibri"/>
          <family val="2"/>
          <charset val="238"/>
          <scheme val="minor"/>
        </font>
      </dxf>
    </rfmt>
    <rfmt sheetId="1" sqref="AL490" start="0" length="0">
      <dxf>
        <font>
          <sz val="12"/>
          <color theme="1"/>
          <name val="Calibri"/>
          <family val="2"/>
          <charset val="238"/>
          <scheme val="minor"/>
        </font>
      </dxf>
    </rfmt>
    <rfmt sheetId="1" sqref="AL491" start="0" length="0">
      <dxf>
        <font>
          <sz val="12"/>
          <color theme="1"/>
          <name val="Calibri"/>
          <family val="2"/>
          <charset val="238"/>
          <scheme val="minor"/>
        </font>
      </dxf>
    </rfmt>
    <rfmt sheetId="1" sqref="AL492" start="0" length="0">
      <dxf>
        <font>
          <sz val="12"/>
          <color theme="1"/>
          <name val="Calibri"/>
          <family val="2"/>
          <charset val="238"/>
          <scheme val="minor"/>
        </font>
      </dxf>
    </rfmt>
    <rfmt sheetId="1" sqref="AL493" start="0" length="0">
      <dxf>
        <font>
          <sz val="12"/>
          <color theme="1"/>
          <name val="Calibri"/>
          <family val="2"/>
          <charset val="238"/>
          <scheme val="minor"/>
        </font>
      </dxf>
    </rfmt>
    <rfmt sheetId="1" sqref="AL494" start="0" length="0">
      <dxf>
        <font>
          <sz val="12"/>
          <color theme="1"/>
          <name val="Calibri"/>
          <family val="2"/>
          <charset val="238"/>
          <scheme val="minor"/>
        </font>
      </dxf>
    </rfmt>
    <rfmt sheetId="1" sqref="AL495" start="0" length="0">
      <dxf>
        <font>
          <sz val="12"/>
          <color theme="1"/>
          <name val="Calibri"/>
          <family val="2"/>
          <charset val="238"/>
          <scheme val="minor"/>
        </font>
      </dxf>
    </rfmt>
    <rfmt sheetId="1" sqref="AL496" start="0" length="0">
      <dxf>
        <font>
          <sz val="12"/>
          <color theme="1"/>
          <name val="Calibri"/>
          <family val="2"/>
          <charset val="238"/>
          <scheme val="minor"/>
        </font>
      </dxf>
    </rfmt>
    <rfmt sheetId="1" sqref="AL497" start="0" length="0">
      <dxf>
        <font>
          <sz val="12"/>
          <color theme="1"/>
          <name val="Calibri"/>
          <family val="2"/>
          <charset val="238"/>
          <scheme val="minor"/>
        </font>
      </dxf>
    </rfmt>
    <rfmt sheetId="1" sqref="AL498" start="0" length="0">
      <dxf>
        <font>
          <sz val="12"/>
          <color theme="1"/>
          <name val="Calibri"/>
          <family val="2"/>
          <charset val="238"/>
          <scheme val="minor"/>
        </font>
      </dxf>
    </rfmt>
    <rfmt sheetId="1" sqref="AL499" start="0" length="0">
      <dxf>
        <font>
          <sz val="12"/>
          <color theme="1"/>
          <name val="Calibri"/>
          <family val="2"/>
          <charset val="238"/>
          <scheme val="minor"/>
        </font>
      </dxf>
    </rfmt>
    <rfmt sheetId="1" sqref="AL500" start="0" length="0">
      <dxf>
        <font>
          <sz val="12"/>
          <color theme="1"/>
          <name val="Calibri"/>
          <family val="2"/>
          <charset val="238"/>
          <scheme val="minor"/>
        </font>
      </dxf>
    </rfmt>
    <rfmt sheetId="1" sqref="AL501" start="0" length="0">
      <dxf>
        <font>
          <sz val="12"/>
          <color theme="1"/>
          <name val="Calibri"/>
          <family val="2"/>
          <charset val="238"/>
          <scheme val="minor"/>
        </font>
      </dxf>
    </rfmt>
    <rfmt sheetId="1" sqref="AL502" start="0" length="0">
      <dxf>
        <font>
          <sz val="12"/>
          <color theme="1"/>
          <name val="Calibri"/>
          <family val="2"/>
          <charset val="238"/>
          <scheme val="minor"/>
        </font>
      </dxf>
    </rfmt>
    <rfmt sheetId="1" sqref="AL504" start="0" length="0">
      <dxf>
        <font>
          <b/>
          <sz val="12"/>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2"/>
          <color theme="1"/>
          <name val="Calibri"/>
          <family val="2"/>
          <charset val="238"/>
          <scheme val="minor"/>
        </font>
      </dxf>
    </rfmt>
    <rfmt sheetId="1" sqref="AL508" start="0" length="0">
      <dxf>
        <font>
          <b/>
          <sz val="12"/>
          <color theme="1"/>
          <name val="Calibri"/>
          <family val="2"/>
          <charset val="238"/>
          <scheme val="minor"/>
        </font>
      </dxf>
    </rfmt>
    <rfmt sheetId="1" sqref="AL509" start="0" length="0">
      <dxf>
        <font>
          <b/>
          <sz val="12"/>
          <color theme="1"/>
          <name val="Calibri"/>
          <family val="2"/>
          <charset val="238"/>
          <scheme val="minor"/>
        </font>
      </dxf>
    </rfmt>
    <rfmt sheetId="1" sqref="AL510" start="0" length="0">
      <dxf>
        <font>
          <b/>
          <sz val="12"/>
          <color theme="1"/>
          <name val="Calibri"/>
          <family val="2"/>
          <charset val="238"/>
          <scheme val="minor"/>
        </font>
      </dxf>
    </rfmt>
    <rfmt sheetId="1" sqref="AL511" start="0" length="0">
      <dxf>
        <font>
          <b/>
          <sz val="12"/>
          <color theme="1"/>
          <name val="Calibri"/>
          <family val="2"/>
          <charset val="238"/>
          <scheme val="minor"/>
        </font>
      </dxf>
    </rfmt>
    <rfmt sheetId="1" sqref="AL512" start="0" length="0">
      <dxf>
        <font>
          <b/>
          <sz val="12"/>
          <color theme="1"/>
          <name val="Calibri"/>
          <family val="2"/>
          <charset val="238"/>
          <scheme val="minor"/>
        </font>
      </dxf>
    </rfmt>
    <rfmt sheetId="1" sqref="AL513" start="0" length="0">
      <dxf>
        <font>
          <b/>
          <sz val="12"/>
          <color theme="1"/>
          <name val="Calibri"/>
          <family val="2"/>
          <charset val="238"/>
          <scheme val="minor"/>
        </font>
      </dxf>
    </rfmt>
    <rfmt sheetId="1" sqref="AL514" start="0" length="0">
      <dxf>
        <font>
          <b/>
          <sz val="12"/>
          <color theme="1"/>
          <name val="Calibri"/>
          <family val="2"/>
          <charset val="238"/>
          <scheme val="minor"/>
        </font>
      </dxf>
    </rfmt>
    <rfmt sheetId="1" sqref="AL515" start="0" length="0">
      <dxf>
        <font>
          <b/>
          <sz val="12"/>
          <color theme="1"/>
          <name val="Calibri"/>
          <family val="2"/>
          <charset val="238"/>
          <scheme val="minor"/>
        </font>
      </dxf>
    </rfmt>
    <rfmt sheetId="1" sqref="AL516" start="0" length="0">
      <dxf>
        <font>
          <b/>
          <sz val="12"/>
          <color theme="1"/>
          <name val="Calibri"/>
          <family val="2"/>
          <charset val="238"/>
          <scheme val="minor"/>
        </font>
      </dxf>
    </rfmt>
    <rfmt sheetId="1" sqref="AL517" start="0" length="0">
      <dxf>
        <font>
          <b/>
          <sz val="12"/>
          <color theme="1"/>
          <name val="Calibri"/>
          <family val="2"/>
          <charset val="238"/>
          <scheme val="minor"/>
        </font>
      </dxf>
    </rfmt>
    <rfmt sheetId="1" sqref="AL518" start="0" length="0">
      <dxf>
        <font>
          <b/>
          <sz val="12"/>
          <color theme="1"/>
          <name val="Calibri"/>
          <family val="2"/>
          <charset val="238"/>
          <scheme val="minor"/>
        </font>
      </dxf>
    </rfmt>
    <rfmt sheetId="1" sqref="AL519" start="0" length="0">
      <dxf>
        <font>
          <b/>
          <sz val="12"/>
          <color theme="1"/>
          <name val="Calibri"/>
          <family val="2"/>
          <charset val="238"/>
          <scheme val="minor"/>
        </font>
      </dxf>
    </rfmt>
    <rfmt sheetId="1" sqref="AL520" start="0" length="0">
      <dxf>
        <font>
          <b/>
          <sz val="12"/>
          <color theme="1"/>
          <name val="Calibri"/>
          <family val="2"/>
          <charset val="238"/>
          <scheme val="minor"/>
        </font>
      </dxf>
    </rfmt>
    <rfmt sheetId="1" sqref="AL521" start="0" length="0">
      <dxf>
        <font>
          <b/>
          <sz val="12"/>
          <color theme="1"/>
          <name val="Calibri"/>
          <family val="2"/>
          <charset val="238"/>
          <scheme val="minor"/>
        </font>
      </dxf>
    </rfmt>
    <rfmt sheetId="1" sqref="AL522" start="0" length="0">
      <dxf>
        <font>
          <b/>
          <sz val="12"/>
          <color theme="1"/>
          <name val="Calibri"/>
          <family val="2"/>
          <charset val="238"/>
          <scheme val="minor"/>
        </font>
      </dxf>
    </rfmt>
    <rfmt sheetId="1" sqref="AL523" start="0" length="0">
      <dxf>
        <font>
          <b/>
          <sz val="12"/>
          <color theme="1"/>
          <name val="Calibri"/>
          <family val="2"/>
          <charset val="238"/>
          <scheme val="minor"/>
        </font>
      </dxf>
    </rfmt>
    <rfmt sheetId="1" sqref="AL524" start="0" length="0">
      <dxf>
        <font>
          <b/>
          <sz val="12"/>
          <color theme="1"/>
          <name val="Calibri"/>
          <family val="2"/>
          <charset val="238"/>
          <scheme val="minor"/>
        </font>
      </dxf>
    </rfmt>
    <rfmt sheetId="1" sqref="AL525" start="0" length="0">
      <dxf>
        <font>
          <b/>
          <sz val="12"/>
          <color theme="1"/>
          <name val="Calibri"/>
          <family val="2"/>
          <charset val="238"/>
          <scheme val="minor"/>
        </font>
      </dxf>
    </rfmt>
    <rfmt sheetId="1" sqref="AL526" start="0" length="0">
      <dxf>
        <font>
          <b/>
          <sz val="12"/>
          <color theme="1"/>
          <name val="Calibri"/>
          <family val="2"/>
          <charset val="238"/>
          <scheme val="minor"/>
        </font>
      </dxf>
    </rfmt>
    <rfmt sheetId="1" sqref="AL527" start="0" length="0">
      <dxf>
        <font>
          <b/>
          <sz val="12"/>
          <color theme="1"/>
          <name val="Calibri"/>
          <family val="2"/>
          <charset val="238"/>
          <scheme val="minor"/>
        </font>
      </dxf>
    </rfmt>
    <rfmt sheetId="1" sqref="AL528" start="0" length="0">
      <dxf>
        <font>
          <b/>
          <sz val="12"/>
          <color theme="1"/>
          <name val="Calibri"/>
          <family val="2"/>
          <charset val="238"/>
          <scheme val="minor"/>
        </font>
      </dxf>
    </rfmt>
    <rfmt sheetId="1" sqref="AL529" start="0" length="0">
      <dxf>
        <font>
          <b/>
          <sz val="12"/>
          <color theme="1"/>
          <name val="Calibri"/>
          <family val="2"/>
          <charset val="238"/>
          <scheme val="minor"/>
        </font>
      </dxf>
    </rfmt>
  </rrc>
  <rrc rId="5913" sId="1" ref="AL1:AL1048576" action="deleteCol">
    <undo index="65535" exp="area" ref3D="1" dr="$A$1:$AL$502" dn="Z_901F9774_8BE7_424D_87C2_1026F3FA2E93_.wvu.FilterData" sId="1"/>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85"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14"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85"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15"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16"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17" sId="1" ref="AL1:AL1048576" action="deleteCol">
    <rfmt sheetId="1" xfDxf="1" sqref="AL1:AL1048576" start="0" length="0"/>
    <rfmt sheetId="1" sqref="AL20" start="0" length="0">
      <dxf>
        <font>
          <sz val="11"/>
          <color theme="1"/>
          <name val="Calibri"/>
          <family val="2"/>
          <charset val="238"/>
          <scheme val="minor"/>
        </font>
      </dxf>
    </rfmt>
    <rfmt sheetId="1" sqref="AL30" start="0" length="0">
      <dxf>
        <numFmt numFmtId="166" formatCode="#,##0.00_ ;\-#,##0.00\ "/>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18"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19"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20"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21"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22"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23"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24"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25"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26"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27"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28"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29"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30"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31"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32"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33"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34"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35"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36"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37"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38"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39"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40"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41"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42"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43"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44"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45"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46"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47"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48"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49"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50"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51"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52"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53"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54"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55"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56"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57"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58"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59"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60"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61"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62"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63"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64"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65"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66"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67"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68"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69"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70"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71"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72"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73"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74"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75"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76"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77"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78"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79"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80"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81"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82"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83"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84"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85" sId="1" ref="AL1:AL1048576" action="deleteCol">
    <undo index="65535" exp="area" ref3D="1" dr="$A$1:$AL$503" dn="Z_747340EB_2B31_46D2_ACDE_4FA91E2B50F6_.wvu.FilterData" sId="1"/>
    <undo index="65535" exp="area" ref3D="1" dr="$A$7:$AL$502" dn="Z_7C1B4D6D_D666_48DD_AB17_E00791B6F0B6_.wvu.FilterData" sId="1"/>
    <undo index="65535" exp="area" ref3D="1" dr="$A$6:$AL$481" dn="Z_7A12EF56_0E17_493A_8E1E_6DFC6553C116_.wvu.FilterData" sId="1"/>
    <undo index="65535" exp="area" ref3D="1" dr="$A$6:$AL$481" dn="Z_22D79F88_81A2_49FE_923A_13405540BBB2_.wvu.FilterData" sId="1"/>
    <undo index="65535" exp="area" ref3D="1" dr="$A$7:$AL$502" dn="Z_340EDCDE_FAE5_4319_AEAD_F8264DCA5D27_.wvu.FilterData" sId="1"/>
    <undo index="65535" exp="area" ref3D="1" dr="$A$1:$AL$481" dn="Z_6B2EC822_DCDB_4711_A946_1038FC40FACE_.wvu.FilterData" sId="1"/>
    <undo index="65535" exp="area" ref3D="1" dr="$A$1:$AL$481" dn="Z_122B486E_8EE5_41FD_B958_74B116FA5D23_.wvu.FilterData" sId="1"/>
    <undo index="65535" exp="area" ref3D="1" dr="$A$1:$AL$481" dn="Z_1278E668_633E_4AB5_BA11_904BA4B2301D_.wvu.FilterData" sId="1"/>
    <undo index="65535" exp="area" ref3D="1" dr="$A$7:$AL$502" dn="Z_2A657C48_B241_4C19_9A74_98ECFC665F2A_.wvu.FilterData" sId="1"/>
    <undo index="65535" exp="area" ref3D="1" dr="$A$1:$AL$503" dn="Z_2C296388_EDB5_4F1F_B0F4_90EC07CCD947_.wvu.FilterData" sId="1"/>
    <undo index="65535" exp="area" ref3D="1" dr="$A$1:$AL$481" dn="Z_297CB86E_F816_4839_BE0B_A075145D0E50_.wvu.FilterData" sId="1"/>
    <undo index="65535" exp="area" ref3D="1" dr="$A$6:$AL$502" dn="Z_65B035E3_87FA_46C5_996E_864F2C8D0EBC_.wvu.FilterData" sId="1"/>
    <undo index="65535" exp="area" ref3D="1" dr="$A$6:$AL$394" dn="Z_5789AB6A_B04B_4240_920E_89274E9F5C82_.wvu.FilterData" sId="1"/>
    <undo index="65535" exp="area" ref3D="1" dr="$A$1:$AL$481" dn="Z_3F70E84F_60E2_4042_91AA_EFB3B23DDDDF_.wvu.FilterData" sId="1"/>
    <undo index="65535" exp="area" ref3D="1" dr="$A$1:$AL$481" dn="Z_6408B19F_539D_4190_A77D_CCE77E163803_.wvu.FilterData" sId="1"/>
    <undo index="65535" exp="area" ref3D="1" dr="$A$7:$AL$7" dn="Z_6C96816B_17C2_4EA9_846E_8E6B5AD26B6D_.wvu.FilterData" sId="1"/>
    <undo index="65535" exp="area" ref3D="1" dr="$A$6:$AL$481" dn="Z_497C7126_2491_461C_AFC3_03C2E163F15C_.wvu.FilterData" sId="1"/>
    <undo index="65535" exp="area" ref3D="1" dr="$A$1:$AL$503" dn="Z_00A99CA1_F635_44AE_9E4D_C2CEC4CEF175_.wvu.FilterData" sId="1"/>
    <undo index="65535" exp="area" ref3D="1" dr="$A$1:$AL$503" dn="Z_36624B2D_80F9_4F79_AC4A_B3547C36F23F_.wvu.FilterData" sId="1"/>
    <undo index="65535" exp="area" ref3D="1" dr="$A$6:$AL$481" dn="Z_0D4E932E_8E85_4001_9304_AAB4DBAD8A65_.wvu.FilterData" sId="1"/>
    <undo index="65535" exp="area" ref3D="1" dr="$A$1:$AL$503" dn="_FilterDatabase" sId="1"/>
    <undo index="65535" exp="area" ref3D="1" dr="$A$1:$AL$503" dn="Z_5AAA4DFE_88B1_4674_95ED_5FCD7A50BC22_.wvu.FilterData" sId="1"/>
    <undo index="65535" exp="area" ref3D="1" dr="$A$6:$AL$481" dn="Z_25084D9D_9C92_4823_A653_D1AEC60737AD_.wvu.FilterData" sId="1"/>
    <undo index="65535" exp="area" ref3D="1" dr="$A$1:$AL$481" dn="Z_91251A9B_6CF6_49E6_857D_BA6C728D7C53_.wvu.FilterData" sId="1"/>
    <undo index="65535" exp="area" ref3D="1" dr="$A$1:$AL$503" dn="Z_8EDB8BF9_8BBB_4EEE_B4F0_C5928D0746DD_.wvu.FilterData" sId="1"/>
    <undo index="65535" exp="area" ref3D="1" dr="$A$1:$AL$503" dn="Z_A5B1481C_EF26_486A_984F_85CDDC2FD94F_.wvu.FilterData" sId="1"/>
    <undo index="65535" exp="area" ref3D="1" dr="$A$1:$AL$481" dn="Z_9DE067B2_E801_456D_B5D0_CD5646CA5948_.wvu.FilterData" sId="1"/>
    <undo index="65535" exp="area" ref3D="1" dr="$A$1:$AL$503" dn="Z_AD1D8E66_18A9_4CB7_BBE4_02F7E757257F_.wvu.FilterData" sId="1"/>
    <undo index="65535" exp="area" ref3D="1" dr="$A$6:$AL$6" dn="Z_B407928D_3938_4D05_B2B2_40B4F21D0436_.wvu.FilterData" sId="1"/>
    <undo index="65535" exp="area" ref3D="1" dr="$A$1:$AL$481" dn="Z_AE8F3F1B_FDCB_45A5_9CC8_53B4E3A0445E_.wvu.FilterData" sId="1"/>
    <undo index="65535" exp="area" ref3D="1" dr="$A$6:$AL$502" dn="Z_B31B819C_CFEB_4B80_9AED_AC603C39BE78_.wvu.FilterData" sId="1"/>
    <undo index="65535" exp="area" ref3D="1" dr="$A$7:$AL$502" dn="Z_B5BED753_4D8C_498E_8AE1_A08F7C0956F7_.wvu.FilterData" sId="1"/>
    <undo index="65535" exp="area" ref3D="1" dr="$A$6:$AL$502" dn="Z_DB41C7D7_14F0_4834_A7BD_0F1115A89C8E_.wvu.FilterData" sId="1"/>
    <undo index="65535" exp="area" ref3D="1" dr="$A$6:$AL$502" dn="Z_D56F5ED6_74F2_4AA3_9A98_EE5750FE63AF_.wvu.FilterData" sId="1"/>
    <undo index="65535" exp="area" ref3D="1" dr="$A$1:$AL$503" dn="Z_EA64E7D7_BA48_4965_B650_778AE412FE0C_.wvu.FilterData" sId="1"/>
    <undo index="65535" exp="area" ref3D="1" dr="$A$1:$AL$481" dn="Z_C90ECED7_D145_417E_BB55_4FC7FD4BF46C_.wvu.FilterData" sId="1"/>
    <undo index="65535" exp="area" ref3D="1" dr="$A$7:$AL$502" dn="Z_D1981FDB_7063_4FCF_8DD5_A549E616E6FF_.wvu.FilterData" sId="1"/>
    <undo index="65535" exp="area" ref3D="1" dr="$A$6:$AL$502" dn="Z_EEA37434_2D22_478B_B49F_C3E8CD4AC2E1_.wvu.FilterData" sId="1"/>
    <undo index="65535" exp="area" ref3D="1" dr="$A$7:$AL$502" dn="Z_E875C76B_3648_4C9A_A6B2_C3654837AAAC_.wvu.FilterData" sId="1"/>
    <undo index="65535" exp="area" ref3D="1" dr="$A$1:$AL$503" dn="Z_FE50EAC0_52A5_4C33_B973_65E93D03D3EA_.wvu.FilterData" sId="1"/>
    <undo index="65535" exp="area" ref3D="1" dr="$A$7:$AL$502" dn="Z_DAD27C7B_8B8A_46CB_98B5_59B1D1EFC319_.wvu.FilterData" sId="1"/>
    <undo index="65535" exp="area" ref3D="1" dr="$A$1:$AL$502" dn="Z_DB51BB9F_5710_40B0_80E7_39B059BFD11D_.wvu.FilterData" sId="1"/>
    <undo index="65535" exp="area" ref3D="1" dr="$A$1:$AL$503" dn="Z_BBF2EF6C_D4AD_46E1_803F_582F4D45F852_.wvu.FilterData" sId="1"/>
    <undo index="65535" exp="area" ref3D="1" dr="$A$6:$AL$394" dn="Z_BDA3804A_96FA_4D9F_AFED_695788A754E9_.wvu.FilterData" sId="1"/>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86"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87"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88"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89"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90"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91"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92"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93"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94"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95"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96"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97"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98"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5999"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6000"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6001"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6002"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6003"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rc rId="6004" sId="1" ref="AL1:AL1048576" action="deleteCol">
    <rfmt sheetId="1" xfDxf="1" sqref="AL1:AL1048576" start="0" length="0"/>
    <rfmt sheetId="1" sqref="AL20" start="0" length="0">
      <dxf>
        <font>
          <sz val="11"/>
          <color theme="1"/>
          <name val="Calibri"/>
          <family val="2"/>
          <charset val="238"/>
          <scheme val="minor"/>
        </font>
      </dxf>
    </rfmt>
    <rfmt sheetId="1" sqref="AL44" start="0" length="0">
      <dxf>
        <font>
          <sz val="12"/>
          <color theme="1"/>
          <name val="Calibri"/>
          <family val="2"/>
          <charset val="238"/>
          <scheme val="minor"/>
        </font>
        <alignment horizontal="left" vertical="center"/>
      </dxf>
    </rfmt>
    <rfmt sheetId="1" sqref="AL64" start="0" length="0">
      <dxf>
        <font>
          <sz val="11"/>
          <color theme="1"/>
          <name val="Calibri"/>
          <family val="2"/>
          <charset val="238"/>
          <scheme val="minor"/>
        </font>
      </dxf>
    </rfmt>
    <rfmt sheetId="1" sqref="AL65" start="0" length="0">
      <dxf>
        <font>
          <sz val="11"/>
          <color theme="1"/>
          <name val="Calibri"/>
          <family val="2"/>
          <charset val="238"/>
          <scheme val="minor"/>
        </font>
      </dxf>
    </rfmt>
    <rfmt sheetId="1" sqref="AL66" start="0" length="0">
      <dxf>
        <font>
          <sz val="11"/>
          <color theme="1"/>
          <name val="Calibri"/>
          <family val="2"/>
          <charset val="238"/>
          <scheme val="minor"/>
        </font>
      </dxf>
    </rfmt>
    <rfmt sheetId="1" sqref="AL67" start="0" length="0">
      <dxf>
        <font>
          <sz val="11"/>
          <color theme="1"/>
          <name val="Calibri"/>
          <family val="2"/>
          <charset val="238"/>
          <scheme val="minor"/>
        </font>
      </dxf>
    </rfmt>
    <rfmt sheetId="1" sqref="AL68" start="0" length="0">
      <dxf>
        <font>
          <sz val="11"/>
          <color theme="1"/>
          <name val="Calibri"/>
          <family val="2"/>
          <charset val="238"/>
          <scheme val="minor"/>
        </font>
      </dxf>
    </rfmt>
    <rfmt sheetId="1" sqref="AL69" start="0" length="0">
      <dxf>
        <font>
          <sz val="11"/>
          <color theme="1"/>
          <name val="Calibri"/>
          <family val="2"/>
          <charset val="238"/>
          <scheme val="minor"/>
        </font>
      </dxf>
    </rfmt>
    <rfmt sheetId="1" sqref="AL126" start="0" length="0">
      <dxf>
        <font>
          <sz val="12"/>
          <color theme="1"/>
          <name val="Calibri"/>
          <family val="2"/>
          <charset val="238"/>
          <scheme val="minor"/>
        </font>
        <alignment horizontal="left" vertical="center"/>
      </dxf>
    </rfmt>
    <rfmt sheetId="1" sqref="AL134" start="0" length="0">
      <dxf>
        <font>
          <sz val="12"/>
          <color theme="1"/>
          <name val="Calibri"/>
          <family val="2"/>
          <charset val="238"/>
          <scheme val="minor"/>
        </font>
      </dxf>
    </rfmt>
    <rfmt sheetId="1" sqref="AL136" start="0" length="0">
      <dxf>
        <font>
          <sz val="11"/>
          <color theme="1"/>
          <name val="Calibri"/>
          <family val="2"/>
          <charset val="238"/>
          <scheme val="minor"/>
        </font>
      </dxf>
    </rfmt>
    <rfmt sheetId="1" sqref="AL139" start="0" length="0">
      <dxf>
        <numFmt numFmtId="4" formatCode="#,##0.00"/>
      </dxf>
    </rfmt>
    <rfmt sheetId="1" sqref="AL140" start="0" length="0">
      <dxf>
        <numFmt numFmtId="4" formatCode="#,##0.00"/>
      </dxf>
    </rfmt>
    <rfmt sheetId="1" sqref="AL141" start="0" length="0">
      <dxf>
        <numFmt numFmtId="4" formatCode="#,##0.00"/>
      </dxf>
    </rfmt>
    <rfmt sheetId="1" sqref="AL142" start="0" length="0">
      <dxf>
        <numFmt numFmtId="4" formatCode="#,##0.00"/>
      </dxf>
    </rfmt>
    <rfmt sheetId="1" sqref="AL143" start="0" length="0">
      <dxf>
        <numFmt numFmtId="4" formatCode="#,##0.00"/>
      </dxf>
    </rfmt>
    <rfmt sheetId="1" sqref="AL144" start="0" length="0">
      <dxf>
        <numFmt numFmtId="4" formatCode="#,##0.00"/>
      </dxf>
    </rfmt>
    <rfmt sheetId="1" sqref="AL148" start="0" length="0">
      <dxf>
        <font>
          <sz val="11"/>
          <color theme="1"/>
          <name val="Calibri"/>
          <family val="2"/>
          <charset val="238"/>
          <scheme val="minor"/>
        </font>
      </dxf>
    </rfmt>
    <rfmt sheetId="1" sqref="AL195" start="0" length="0">
      <dxf>
        <alignment vertical="top" wrapText="1"/>
      </dxf>
    </rfmt>
    <rfmt sheetId="1" sqref="AL224" start="0" length="0">
      <dxf>
        <font>
          <sz val="12"/>
          <color theme="1"/>
          <name val="Calibri"/>
          <family val="2"/>
          <charset val="238"/>
          <scheme val="minor"/>
        </font>
        <alignment horizontal="left" vertical="center"/>
      </dxf>
    </rfmt>
    <rfmt sheetId="1" sqref="AL225"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27" start="0" length="0">
      <dxf>
        <font>
          <sz val="11"/>
          <color theme="1"/>
          <name val="Calibri"/>
          <family val="2"/>
          <charset val="238"/>
          <scheme val="minor"/>
        </font>
      </dxf>
    </rfmt>
    <rfmt sheetId="1" sqref="AL228" start="0" length="0">
      <dxf>
        <font>
          <sz val="11"/>
          <color theme="1"/>
          <name val="Calibri"/>
          <family val="2"/>
          <charset val="238"/>
          <scheme val="minor"/>
        </font>
      </dxf>
    </rfmt>
    <rfmt sheetId="1" sqref="AL229" start="0" length="0">
      <dxf>
        <font>
          <sz val="11"/>
          <color theme="1"/>
          <name val="Calibri"/>
          <family val="2"/>
          <charset val="238"/>
          <scheme val="minor"/>
        </font>
      </dxf>
    </rfmt>
    <rfmt sheetId="1" sqref="AL230" start="0" length="0">
      <dxf>
        <font>
          <sz val="11"/>
          <color theme="1"/>
          <name val="Calibri"/>
          <family val="2"/>
          <charset val="238"/>
          <scheme val="minor"/>
        </font>
      </dxf>
    </rfmt>
    <rfmt sheetId="1" sqref="AL250" start="0" length="0">
      <dxf>
        <font>
          <sz val="11"/>
          <color theme="1"/>
          <name val="Calibri"/>
          <family val="2"/>
          <charset val="238"/>
          <scheme val="minor"/>
        </font>
      </dxf>
    </rfmt>
    <rfmt sheetId="1" sqref="AL292" start="0" length="0">
      <dxf>
        <font>
          <sz val="11"/>
          <color theme="1"/>
          <name val="Calibri"/>
          <family val="2"/>
          <charset val="238"/>
          <scheme val="minor"/>
        </font>
      </dxf>
    </rfmt>
    <rfmt sheetId="1" sqref="AL307" start="0" length="0">
      <dxf>
        <font>
          <sz val="11"/>
          <color theme="1"/>
          <name val="Calibri"/>
          <family val="2"/>
          <charset val="238"/>
          <scheme val="minor"/>
        </font>
      </dxf>
    </rfmt>
    <rfmt sheetId="1" sqref="AL312" start="0" length="0">
      <dxf>
        <alignment vertical="top" wrapText="1"/>
      </dxf>
    </rfmt>
    <rfmt sheetId="1" sqref="AL341" start="0" length="0">
      <dxf>
        <font>
          <sz val="11"/>
          <color theme="0"/>
          <name val="Calibri"/>
          <family val="2"/>
          <charset val="238"/>
          <scheme val="minor"/>
        </font>
      </dxf>
    </rfmt>
    <rfmt sheetId="1" sqref="AL342" start="0" length="0">
      <dxf>
        <font>
          <sz val="11"/>
          <color theme="0"/>
          <name val="Calibri"/>
          <family val="2"/>
          <charset val="238"/>
          <scheme val="minor"/>
        </font>
      </dxf>
    </rfmt>
    <rfmt sheetId="1" sqref="AL343" start="0" length="0">
      <dxf>
        <font>
          <sz val="11"/>
          <color theme="0"/>
          <name val="Calibri"/>
          <family val="2"/>
          <charset val="238"/>
          <scheme val="minor"/>
        </font>
      </dxf>
    </rfmt>
    <rfmt sheetId="1" sqref="AL344" start="0" length="0">
      <dxf>
        <font>
          <sz val="11"/>
          <color theme="0"/>
          <name val="Calibri"/>
          <family val="2"/>
          <charset val="238"/>
          <scheme val="minor"/>
        </font>
      </dxf>
    </rfmt>
    <rfmt sheetId="1" sqref="AL352" start="0" length="0">
      <dxf>
        <font>
          <sz val="11"/>
          <color theme="0"/>
          <name val="Calibri"/>
          <family val="2"/>
          <charset val="238"/>
          <scheme val="minor"/>
        </font>
      </dxf>
    </rfmt>
    <rfmt sheetId="1" sqref="AL353" start="0" length="0">
      <dxf>
        <font>
          <sz val="11"/>
          <color theme="0"/>
          <name val="Calibri"/>
          <family val="2"/>
          <charset val="238"/>
          <scheme val="minor"/>
        </font>
      </dxf>
    </rfmt>
    <rfmt sheetId="1" sqref="AL354" start="0" length="0">
      <dxf>
        <font>
          <sz val="11"/>
          <color theme="0"/>
          <name val="Calibri"/>
          <family val="2"/>
          <charset val="238"/>
          <scheme val="minor"/>
        </font>
      </dxf>
    </rfmt>
    <rfmt sheetId="1" sqref="AL355" start="0" length="0">
      <dxf>
        <font>
          <sz val="11"/>
          <color theme="0"/>
          <name val="Calibri"/>
          <family val="2"/>
          <charset val="238"/>
          <scheme val="minor"/>
        </font>
      </dxf>
    </rfmt>
    <rfmt sheetId="1" sqref="AL504" start="0" length="0">
      <dxf>
        <font>
          <b/>
          <sz val="11"/>
          <color theme="1"/>
          <name val="Calibri"/>
          <family val="2"/>
          <charset val="238"/>
          <scheme val="minor"/>
        </font>
      </dxf>
    </rfmt>
    <rfmt sheetId="1" sqref="AL505" start="0" length="0">
      <dxf>
        <font>
          <b/>
          <sz val="12"/>
          <color theme="1"/>
          <name val="Calibri"/>
          <family val="2"/>
          <charset val="238"/>
          <scheme val="minor"/>
        </font>
      </dxf>
    </rfmt>
    <rfmt sheetId="1" sqref="AL506" start="0" length="0">
      <dxf>
        <font>
          <b/>
          <sz val="12"/>
          <color theme="1"/>
          <name val="Calibri"/>
          <family val="2"/>
          <charset val="238"/>
          <scheme val="minor"/>
        </font>
      </dxf>
    </rfmt>
    <rfmt sheetId="1" sqref="AL507" start="0" length="0">
      <dxf>
        <font>
          <b/>
          <sz val="11"/>
          <color theme="1"/>
          <name val="Calibri"/>
          <family val="2"/>
          <charset val="238"/>
          <scheme val="minor"/>
        </font>
      </dxf>
    </rfmt>
    <rfmt sheetId="1" sqref="AL508" start="0" length="0">
      <dxf>
        <font>
          <b/>
          <sz val="11"/>
          <color theme="1"/>
          <name val="Calibri"/>
          <family val="2"/>
          <charset val="238"/>
          <scheme val="minor"/>
        </font>
      </dxf>
    </rfmt>
    <rfmt sheetId="1" sqref="AL509" start="0" length="0">
      <dxf>
        <font>
          <b/>
          <sz val="11"/>
          <color theme="1"/>
          <name val="Calibri"/>
          <family val="2"/>
          <charset val="238"/>
          <scheme val="minor"/>
        </font>
      </dxf>
    </rfmt>
    <rfmt sheetId="1" sqref="AL510" start="0" length="0">
      <dxf>
        <font>
          <b/>
          <sz val="11"/>
          <color theme="1"/>
          <name val="Calibri"/>
          <family val="2"/>
          <charset val="238"/>
          <scheme val="minor"/>
        </font>
      </dxf>
    </rfmt>
    <rfmt sheetId="1" sqref="AL511" start="0" length="0">
      <dxf>
        <font>
          <b/>
          <sz val="11"/>
          <color theme="1"/>
          <name val="Calibri"/>
          <family val="2"/>
          <charset val="238"/>
          <scheme val="minor"/>
        </font>
      </dxf>
    </rfmt>
    <rfmt sheetId="1" sqref="AL512" start="0" length="0">
      <dxf>
        <font>
          <b/>
          <sz val="11"/>
          <color theme="1"/>
          <name val="Calibri"/>
          <family val="2"/>
          <charset val="238"/>
          <scheme val="minor"/>
        </font>
      </dxf>
    </rfmt>
    <rfmt sheetId="1" sqref="AL513" start="0" length="0">
      <dxf>
        <font>
          <b/>
          <sz val="11"/>
          <color theme="1"/>
          <name val="Calibri"/>
          <family val="2"/>
          <charset val="238"/>
          <scheme val="minor"/>
        </font>
      </dxf>
    </rfmt>
    <rfmt sheetId="1" sqref="AL514" start="0" length="0">
      <dxf>
        <font>
          <b/>
          <sz val="11"/>
          <color theme="1"/>
          <name val="Calibri"/>
          <family val="2"/>
          <charset val="238"/>
          <scheme val="minor"/>
        </font>
      </dxf>
    </rfmt>
    <rfmt sheetId="1" sqref="AL515" start="0" length="0">
      <dxf>
        <font>
          <b/>
          <sz val="11"/>
          <color theme="1"/>
          <name val="Calibri"/>
          <family val="2"/>
          <charset val="238"/>
          <scheme val="minor"/>
        </font>
      </dxf>
    </rfmt>
    <rfmt sheetId="1" sqref="AL516" start="0" length="0">
      <dxf>
        <font>
          <b/>
          <sz val="11"/>
          <color theme="1"/>
          <name val="Calibri"/>
          <family val="2"/>
          <charset val="238"/>
          <scheme val="minor"/>
        </font>
      </dxf>
    </rfmt>
    <rfmt sheetId="1" sqref="AL517" start="0" length="0">
      <dxf>
        <font>
          <b/>
          <sz val="11"/>
          <color theme="1"/>
          <name val="Calibri"/>
          <family val="2"/>
          <charset val="238"/>
          <scheme val="minor"/>
        </font>
      </dxf>
    </rfmt>
    <rfmt sheetId="1" sqref="AL518" start="0" length="0">
      <dxf>
        <font>
          <b/>
          <sz val="11"/>
          <color theme="1"/>
          <name val="Calibri"/>
          <family val="2"/>
          <charset val="238"/>
          <scheme val="minor"/>
        </font>
      </dxf>
    </rfmt>
    <rfmt sheetId="1" sqref="AL519" start="0" length="0">
      <dxf>
        <font>
          <b/>
          <sz val="11"/>
          <color theme="1"/>
          <name val="Calibri"/>
          <family val="2"/>
          <charset val="238"/>
          <scheme val="minor"/>
        </font>
      </dxf>
    </rfmt>
    <rfmt sheetId="1" sqref="AL520" start="0" length="0">
      <dxf>
        <font>
          <b/>
          <sz val="11"/>
          <color theme="1"/>
          <name val="Calibri"/>
          <family val="2"/>
          <charset val="238"/>
          <scheme val="minor"/>
        </font>
      </dxf>
    </rfmt>
    <rfmt sheetId="1" sqref="AL521" start="0" length="0">
      <dxf>
        <font>
          <b/>
          <sz val="11"/>
          <color theme="1"/>
          <name val="Calibri"/>
          <family val="2"/>
          <charset val="238"/>
          <scheme val="minor"/>
        </font>
      </dxf>
    </rfmt>
    <rfmt sheetId="1" sqref="AL522" start="0" length="0">
      <dxf>
        <font>
          <b/>
          <sz val="11"/>
          <color theme="1"/>
          <name val="Calibri"/>
          <family val="2"/>
          <charset val="238"/>
          <scheme val="minor"/>
        </font>
      </dxf>
    </rfmt>
    <rfmt sheetId="1" sqref="AL523" start="0" length="0">
      <dxf>
        <font>
          <b/>
          <sz val="11"/>
          <color theme="1"/>
          <name val="Calibri"/>
          <family val="2"/>
          <charset val="238"/>
          <scheme val="minor"/>
        </font>
      </dxf>
    </rfmt>
    <rfmt sheetId="1" sqref="AL524" start="0" length="0">
      <dxf>
        <font>
          <b/>
          <sz val="11"/>
          <color theme="1"/>
          <name val="Calibri"/>
          <family val="2"/>
          <charset val="238"/>
          <scheme val="minor"/>
        </font>
      </dxf>
    </rfmt>
    <rfmt sheetId="1" sqref="AL525" start="0" length="0">
      <dxf>
        <font>
          <b/>
          <sz val="11"/>
          <color theme="1"/>
          <name val="Calibri"/>
          <family val="2"/>
          <charset val="238"/>
          <scheme val="minor"/>
        </font>
      </dxf>
    </rfmt>
    <rfmt sheetId="1" sqref="AL526" start="0" length="0">
      <dxf>
        <font>
          <b/>
          <sz val="11"/>
          <color theme="1"/>
          <name val="Calibri"/>
          <family val="2"/>
          <charset val="238"/>
          <scheme val="minor"/>
        </font>
      </dxf>
    </rfmt>
    <rfmt sheetId="1" sqref="AL527" start="0" length="0">
      <dxf>
        <font>
          <b/>
          <sz val="11"/>
          <color theme="1"/>
          <name val="Calibri"/>
          <family val="2"/>
          <charset val="238"/>
          <scheme val="minor"/>
        </font>
      </dxf>
    </rfmt>
    <rfmt sheetId="1" sqref="AL528" start="0" length="0">
      <dxf>
        <font>
          <b/>
          <sz val="11"/>
          <color theme="1"/>
          <name val="Calibri"/>
          <family val="2"/>
          <charset val="238"/>
          <scheme val="minor"/>
        </font>
      </dxf>
    </rfmt>
    <rfmt sheetId="1" sqref="AL529" start="0" length="0">
      <dxf>
        <font>
          <b/>
          <sz val="11"/>
          <color theme="1"/>
          <name val="Calibri"/>
          <family val="2"/>
          <charset val="238"/>
          <scheme val="minor"/>
        </font>
      </dxf>
    </rfmt>
  </rrc>
  <rfmt sheetId="1" sqref="A1:AK3">
    <dxf>
      <fill>
        <patternFill patternType="solid">
          <bgColor rgb="FFFFFF00"/>
        </patternFill>
      </fill>
    </dxf>
  </rfmt>
  <rfmt sheetId="1" sqref="A4:AK5">
    <dxf>
      <fill>
        <patternFill patternType="solid">
          <bgColor theme="9" tint="0.59999389629810485"/>
        </patternFill>
      </fill>
    </dxf>
  </rfmt>
  <rrc rId="6005" sId="1" ref="A7:XFD7" action="deleteRow">
    <undo index="65535" exp="area" ref3D="1" dr="$A$7:$AK$502" dn="Z_7C1B4D6D_D666_48DD_AB17_E00791B6F0B6_.wvu.FilterData" sId="1"/>
    <undo index="65535" exp="area" ref3D="1" dr="$A$7:$AK$502" dn="Z_340EDCDE_FAE5_4319_AEAD_F8264DCA5D27_.wvu.FilterData" sId="1"/>
    <undo index="65535" exp="area" ref3D="1" dr="$A$7:$AK$502" dn="Z_2A657C48_B241_4C19_9A74_98ECFC665F2A_.wvu.FilterData" sId="1"/>
    <undo index="65535" exp="area" ref3D="1" dr="$H$1:$N$1048576" dn="Z_65B035E3_87FA_46C5_996E_864F2C8D0EBC_.wvu.Cols" sId="1"/>
    <undo index="65535" exp="area" ref3D="1" dr="$A$7:$AK$7" dn="Z_6C96816B_17C2_4EA9_846E_8E6B5AD26B6D_.wvu.FilterData" sId="1"/>
    <undo index="65535" exp="area" ref3D="1" dr="$A$7:$AK$502" dn="Z_B5BED753_4D8C_498E_8AE1_A08F7C0956F7_.wvu.FilterData" sId="1"/>
    <undo index="65535" exp="area" ref3D="1" dr="$A$7:$AK$502" dn="Z_D1981FDB_7063_4FCF_8DD5_A549E616E6FF_.wvu.FilterData" sId="1"/>
    <undo index="65535" exp="area" ref3D="1" dr="$A$7:$AK$502" dn="Z_E875C76B_3648_4C9A_A6B2_C3654837AAAC_.wvu.FilterData" sId="1"/>
    <undo index="65535" exp="area" ref3D="1" dr="$A$7:$AK$502" dn="Z_DAD27C7B_8B8A_46CB_98B5_59B1D1EFC319_.wvu.FilterData" sId="1"/>
    <rfmt sheetId="1" xfDxf="1" sqref="A7:XFD7" start="0" length="0"/>
    <rfmt sheetId="1" sqref="A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F7" t="inlineStr">
        <is>
          <t>test</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G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T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U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V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W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X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Y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Z7"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A7"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B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AC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AD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AE7"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F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G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H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J7" start="0" length="0">
      <dxf>
        <font>
          <b/>
          <sz val="12"/>
          <color auto="1"/>
          <name val="Calibri"/>
          <family val="2"/>
          <charset val="238"/>
          <scheme val="minor"/>
        </font>
        <numFmt numFmtId="3" formatCode="#,##0"/>
        <alignment vertical="center" wrapText="1"/>
        <border outline="0">
          <left style="thin">
            <color indexed="64"/>
          </left>
          <right style="thin">
            <color indexed="64"/>
          </right>
          <bottom style="thin">
            <color indexed="64"/>
          </bottom>
        </border>
      </dxf>
    </rfmt>
    <rfmt sheetId="1" sqref="AK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rc>
  <rrc rId="6006" sId="1" ref="A7:XFD7" action="deleteRow">
    <undo index="65535" exp="area" dr="$F$7:$F$502" r="AK527" sId="1"/>
    <undo index="0" exp="area" dr="AK$7:AK$502" r="AK527" sId="1"/>
    <undo index="65535" exp="area" dr="$F$7:$F$502" r="AJ527" sId="1"/>
    <undo index="0" exp="area" dr="AJ$7:AJ$502" r="AJ527" sId="1"/>
    <undo index="65535" exp="area" dr="$F$7:$F$502" r="AG527" sId="1"/>
    <undo index="0" exp="area" dr="AG$7:AG$502" r="AG527" sId="1"/>
    <undo index="65535" exp="area" dr="$F$7:$F$502" r="AF527" sId="1"/>
    <undo index="0" exp="area" dr="AF$7:AF$502" r="AF527" sId="1"/>
    <undo index="65535" exp="area" dr="$F$7:$F$502" r="AE527" sId="1"/>
    <undo index="0" exp="area" dr="AE$7:AE$502" r="AE527" sId="1"/>
    <undo index="65535" exp="area" dr="$F$7:$F$502" r="AD527" sId="1"/>
    <undo index="0" exp="area" dr="AD$7:AD$502" r="AD527" sId="1"/>
    <undo index="65535" exp="area" dr="$F$7:$F$502" r="AC527" sId="1"/>
    <undo index="0" exp="area" dr="AC$7:AC$502" r="AC527" sId="1"/>
    <undo index="65535" exp="area" dr="$F$7:$F$502" r="AB527" sId="1"/>
    <undo index="0" exp="area" dr="AB$7:AB$502" r="AB527" sId="1"/>
    <undo index="65535" exp="area" dr="$F$7:$F$502" r="X527" sId="1"/>
    <undo index="0" exp="area" dr="X$7:X$502" r="X527" sId="1"/>
    <undo index="65535" exp="area" dr="$F$7:$F$502" r="W527" sId="1"/>
    <undo index="0" exp="area" dr="W$7:W$502" r="W527" sId="1"/>
    <undo index="65535" exp="area" dr="$F$7:$F$502" r="V527" sId="1"/>
    <undo index="0" exp="area" dr="V$7:V$502" r="V527" sId="1"/>
    <undo index="65535" exp="area" dr="$F$7:$F$502" r="U527" sId="1"/>
    <undo index="0" exp="area" dr="U$7:U$502" r="U527" sId="1"/>
    <undo index="65535" exp="area" dr="$F$7:$F$502" r="T527" sId="1"/>
    <undo index="0" exp="area" dr="T$7:T$502" r="T527" sId="1"/>
    <undo index="65535" exp="area" dr="$F$7:$F$502" r="S527" sId="1"/>
    <undo index="0" exp="area" dr="S$7:S$502" r="S527" sId="1"/>
    <undo index="65535" exp="area" dr="$F$7:$F$502" r="AK525" sId="1"/>
    <undo index="0" exp="area" dr="AK$7:AK$502" r="AK525" sId="1"/>
    <undo index="65535" exp="area" dr="$F$7:$F$502" r="AJ525" sId="1"/>
    <undo index="0" exp="area" dr="AJ$7:AJ$502" r="AJ525" sId="1"/>
    <undo index="65535" exp="area" dr="$F$7:$F$502" r="AG525" sId="1"/>
    <undo index="0" exp="area" dr="AG$7:AG$502" r="AG525" sId="1"/>
    <undo index="65535" exp="area" dr="$F$7:$F$502" r="AF525" sId="1"/>
    <undo index="0" exp="area" dr="AF$7:AF$502" r="AF525" sId="1"/>
    <undo index="65535" exp="area" dr="$F$7:$F$502" r="AE525" sId="1"/>
    <undo index="0" exp="area" dr="AE$7:AE$502" r="AE525" sId="1"/>
    <undo index="65535" exp="area" dr="$F$7:$F$502" r="AD525" sId="1"/>
    <undo index="0" exp="area" dr="AD$7:AD$502" r="AD525" sId="1"/>
    <undo index="65535" exp="area" dr="$F$7:$F$502" r="AC525" sId="1"/>
    <undo index="0" exp="area" dr="AC$7:AC$502" r="AC525" sId="1"/>
    <undo index="65535" exp="area" dr="$F$7:$F$502" r="AB525" sId="1"/>
    <undo index="0" exp="area" dr="AB$7:AB$502" r="AB525" sId="1"/>
    <undo index="65535" exp="area" dr="$F$7:$F$502" r="AA525" sId="1"/>
    <undo index="0" exp="area" dr="AA$7:AA$502" r="AA525" sId="1"/>
    <undo index="65535" exp="area" dr="$F$7:$F$502" r="Z525" sId="1"/>
    <undo index="0" exp="area" dr="Z$7:Z$502" r="Z525" sId="1"/>
    <undo index="65535" exp="area" dr="$F$7:$F$502" r="Y525" sId="1"/>
    <undo index="0" exp="area" dr="Y$7:Y$502" r="Y525" sId="1"/>
    <undo index="65535" exp="area" dr="$F$7:$F$502" r="X525" sId="1"/>
    <undo index="0" exp="area" dr="X$7:X$502" r="X525" sId="1"/>
    <undo index="65535" exp="area" dr="$F$7:$F$502" r="W525" sId="1"/>
    <undo index="0" exp="area" dr="W$7:W$502" r="W525" sId="1"/>
    <undo index="65535" exp="area" dr="$F$7:$F$502" r="V525" sId="1"/>
    <undo index="0" exp="area" dr="V$7:V$502" r="V525" sId="1"/>
    <undo index="65535" exp="area" dr="$F$7:$F$502" r="U525" sId="1"/>
    <undo index="0" exp="area" dr="U$7:U$502" r="U525" sId="1"/>
    <undo index="65535" exp="area" dr="$F$7:$F$502" r="T525" sId="1"/>
    <undo index="0" exp="area" dr="T$7:T$502" r="T525" sId="1"/>
    <undo index="65535" exp="area" dr="$F$7:$F$502" r="S525" sId="1"/>
    <undo index="0" exp="area" dr="S$7:S$502" r="S525" sId="1"/>
    <undo index="0" exp="area" dr="F$7:F$502" r="D525" sId="1"/>
    <undo index="65535" exp="area" dr="$F$7:$F$502" r="AK524" sId="1"/>
    <undo index="0" exp="area" dr="AK$7:AK$502" r="AK524" sId="1"/>
    <undo index="65535" exp="area" dr="$F$7:$F$502" r="AJ524" sId="1"/>
    <undo index="0" exp="area" dr="AJ$7:AJ$502" r="AJ524" sId="1"/>
    <undo index="65535" exp="area" dr="$F$7:$F$502" r="AG524" sId="1"/>
    <undo index="0" exp="area" dr="AG$7:AG$502" r="AG524" sId="1"/>
    <undo index="65535" exp="area" dr="$F$7:$F$502" r="AF524" sId="1"/>
    <undo index="0" exp="area" dr="AF$7:AF$502" r="AF524" sId="1"/>
    <undo index="65535" exp="area" dr="$F$7:$F$502" r="AE524" sId="1"/>
    <undo index="0" exp="area" dr="AE$7:AE$502" r="AE524" sId="1"/>
    <undo index="65535" exp="area" dr="$F$7:$F$502" r="AD524" sId="1"/>
    <undo index="0" exp="area" dr="AD$7:AD$502" r="AD524" sId="1"/>
    <undo index="65535" exp="area" dr="$F$7:$F$502" r="AC524" sId="1"/>
    <undo index="0" exp="area" dr="AC$7:AC$502" r="AC524" sId="1"/>
    <undo index="65535" exp="area" dr="$F$7:$F$502" r="AB524" sId="1"/>
    <undo index="0" exp="area" dr="AB$7:AB$502" r="AB524" sId="1"/>
    <undo index="65535" exp="area" dr="$F$7:$F$502" r="AA524" sId="1"/>
    <undo index="0" exp="area" dr="AA$7:AA$502" r="AA524" sId="1"/>
    <undo index="65535" exp="area" dr="$F$7:$F$502" r="Z524" sId="1"/>
    <undo index="0" exp="area" dr="Z$7:Z$502" r="Z524" sId="1"/>
    <undo index="65535" exp="area" dr="$F$7:$F$502" r="Y524" sId="1"/>
    <undo index="0" exp="area" dr="Y$7:Y$502" r="Y524" sId="1"/>
    <undo index="65535" exp="area" dr="$F$7:$F$502" r="X524" sId="1"/>
    <undo index="0" exp="area" dr="X$7:X$502" r="X524" sId="1"/>
    <undo index="65535" exp="area" dr="$F$7:$F$502" r="W524" sId="1"/>
    <undo index="0" exp="area" dr="W$7:W$502" r="W524" sId="1"/>
    <undo index="65535" exp="area" dr="$F$7:$F$502" r="V524" sId="1"/>
    <undo index="0" exp="area" dr="V$7:V$502" r="V524" sId="1"/>
    <undo index="65535" exp="area" dr="$F$7:$F$502" r="U524" sId="1"/>
    <undo index="0" exp="area" dr="U$7:U$502" r="U524" sId="1"/>
    <undo index="65535" exp="area" dr="$F$7:$F$502" r="T524" sId="1"/>
    <undo index="0" exp="area" dr="T$7:T$502" r="T524" sId="1"/>
    <undo index="65535" exp="area" dr="$F$7:$F$502" r="S524" sId="1"/>
    <undo index="0" exp="area" dr="S$7:S$502" r="S524" sId="1"/>
    <undo index="0" exp="area" dr="F$7:F$502" r="D524" sId="1"/>
    <undo index="65535" exp="area" dr="$F$7:$F$502" r="AK523" sId="1"/>
    <undo index="0" exp="area" dr="AK$7:AK$502" r="AK523" sId="1"/>
    <undo index="65535" exp="area" dr="$F$7:$F$502" r="AJ523" sId="1"/>
    <undo index="0" exp="area" dr="AJ$7:AJ$502" r="AJ523" sId="1"/>
    <undo index="65535" exp="area" dr="$F$7:$F$502" r="AG523" sId="1"/>
    <undo index="0" exp="area" dr="AG$7:AG$502" r="AG523" sId="1"/>
    <undo index="65535" exp="area" dr="$F$7:$F$502" r="AF523" sId="1"/>
    <undo index="0" exp="area" dr="AF$7:AF$502" r="AF523" sId="1"/>
    <undo index="65535" exp="area" dr="$F$7:$F$502" r="AE523" sId="1"/>
    <undo index="0" exp="area" dr="AE$7:AE$502" r="AE523" sId="1"/>
    <undo index="65535" exp="area" dr="$F$7:$F$502" r="AD523" sId="1"/>
    <undo index="0" exp="area" dr="AD$7:AD$502" r="AD523" sId="1"/>
    <undo index="65535" exp="area" dr="$F$7:$F$502" r="AC523" sId="1"/>
    <undo index="0" exp="area" dr="AC$7:AC$502" r="AC523" sId="1"/>
    <undo index="65535" exp="area" dr="$F$7:$F$502" r="AB523" sId="1"/>
    <undo index="0" exp="area" dr="AB$7:AB$502" r="AB523" sId="1"/>
    <undo index="65535" exp="area" dr="$F$7:$F$502" r="AA523" sId="1"/>
    <undo index="0" exp="area" dr="AA$7:AA$502" r="AA523" sId="1"/>
    <undo index="65535" exp="area" dr="$F$7:$F$502" r="Z523" sId="1"/>
    <undo index="0" exp="area" dr="Z$7:Z$502" r="Z523" sId="1"/>
    <undo index="65535" exp="area" dr="$F$7:$F$502" r="Y523" sId="1"/>
    <undo index="0" exp="area" dr="Y$7:Y$502" r="Y523" sId="1"/>
    <undo index="65535" exp="area" dr="$F$7:$F$502" r="X523" sId="1"/>
    <undo index="0" exp="area" dr="X$7:X$502" r="X523" sId="1"/>
    <undo index="65535" exp="area" dr="$F$7:$F$502" r="W523" sId="1"/>
    <undo index="0" exp="area" dr="W$7:W$502" r="W523" sId="1"/>
    <undo index="65535" exp="area" dr="$F$7:$F$502" r="V523" sId="1"/>
    <undo index="0" exp="area" dr="V$7:V$502" r="V523" sId="1"/>
    <undo index="65535" exp="area" dr="$F$7:$F$502" r="U523" sId="1"/>
    <undo index="0" exp="area" dr="U$7:U$502" r="U523" sId="1"/>
    <undo index="65535" exp="area" dr="$F$7:$F$502" r="T523" sId="1"/>
    <undo index="0" exp="area" dr="T$7:T$502" r="T523" sId="1"/>
    <undo index="65535" exp="area" dr="$F$7:$F$502" r="S523" sId="1"/>
    <undo index="0" exp="area" dr="S$7:S$502" r="S523" sId="1"/>
    <undo index="0" exp="area" dr="F$7:F$502" r="D523" sId="1"/>
    <undo index="65535" exp="area" dr="$F$7:$F$502" r="AK522" sId="1"/>
    <undo index="0" exp="area" dr="AK$7:AK$502" r="AK522" sId="1"/>
    <undo index="65535" exp="area" dr="$F$7:$F$502" r="AJ522" sId="1"/>
    <undo index="0" exp="area" dr="AJ$7:AJ$502" r="AJ522" sId="1"/>
    <undo index="65535" exp="area" dr="$F$7:$F$502" r="AG522" sId="1"/>
    <undo index="0" exp="area" dr="AG$7:AG$502" r="AG522" sId="1"/>
    <undo index="65535" exp="area" dr="$F$7:$F$502" r="AF522" sId="1"/>
    <undo index="0" exp="area" dr="AF$7:AF$502" r="AF522" sId="1"/>
    <undo index="65535" exp="area" dr="$F$7:$F$502" r="AE522" sId="1"/>
    <undo index="0" exp="area" dr="AE$7:AE$502" r="AE522" sId="1"/>
    <undo index="65535" exp="area" dr="$F$7:$F$502" r="AD522" sId="1"/>
    <undo index="0" exp="area" dr="AD$7:AD$502" r="AD522" sId="1"/>
    <undo index="65535" exp="area" dr="$F$7:$F$502" r="AC522" sId="1"/>
    <undo index="0" exp="area" dr="AC$7:AC$502" r="AC522" sId="1"/>
    <undo index="65535" exp="area" dr="$F$7:$F$502" r="AB522" sId="1"/>
    <undo index="0" exp="area" dr="AB$7:AB$502" r="AB522" sId="1"/>
    <undo index="65535" exp="area" dr="$F$7:$F$502" r="AA522" sId="1"/>
    <undo index="0" exp="area" dr="AA$7:AA$502" r="AA522" sId="1"/>
    <undo index="65535" exp="area" dr="$F$7:$F$502" r="Z522" sId="1"/>
    <undo index="0" exp="area" dr="Z$7:Z$502" r="Z522" sId="1"/>
    <undo index="65535" exp="area" dr="$F$7:$F$502" r="Y522" sId="1"/>
    <undo index="0" exp="area" dr="Y$7:Y$502" r="Y522" sId="1"/>
    <undo index="65535" exp="area" dr="$F$7:$F$502" r="X522" sId="1"/>
    <undo index="0" exp="area" dr="X$7:X$502" r="X522" sId="1"/>
    <undo index="65535" exp="area" dr="$F$7:$F$502" r="W522" sId="1"/>
    <undo index="0" exp="area" dr="W$7:W$502" r="W522" sId="1"/>
    <undo index="65535" exp="area" dr="$F$7:$F$502" r="V522" sId="1"/>
    <undo index="0" exp="area" dr="V$7:V$502" r="V522" sId="1"/>
    <undo index="65535" exp="area" dr="$F$7:$F$502" r="U522" sId="1"/>
    <undo index="0" exp="area" dr="U$7:U$502" r="U522" sId="1"/>
    <undo index="65535" exp="area" dr="$F$7:$F$502" r="T522" sId="1"/>
    <undo index="0" exp="area" dr="T$7:T$502" r="T522" sId="1"/>
    <undo index="65535" exp="area" dr="$F$7:$F$502" r="S522" sId="1"/>
    <undo index="0" exp="area" dr="S$7:S$502" r="S522" sId="1"/>
    <undo index="0" exp="area" dr="F$7:F$502" r="D522" sId="1"/>
    <undo index="65535" exp="area" dr="$F$7:$F$502" r="AK521" sId="1"/>
    <undo index="0" exp="area" dr="AK$7:AK$502" r="AK521" sId="1"/>
    <undo index="65535" exp="area" dr="$F$7:$F$502" r="AJ521" sId="1"/>
    <undo index="0" exp="area" dr="AJ$7:AJ$502" r="AJ521" sId="1"/>
    <undo index="65535" exp="area" dr="$F$7:$F$502" r="AG521" sId="1"/>
    <undo index="0" exp="area" dr="AG$7:AG$502" r="AG521" sId="1"/>
    <undo index="65535" exp="area" dr="$F$7:$F$502" r="AF521" sId="1"/>
    <undo index="0" exp="area" dr="AF$7:AF$502" r="AF521" sId="1"/>
    <undo index="65535" exp="area" dr="$F$7:$F$502" r="AE521" sId="1"/>
    <undo index="0" exp="area" dr="AE$7:AE$502" r="AE521" sId="1"/>
    <undo index="65535" exp="area" dr="$F$7:$F$502" r="AD521" sId="1"/>
    <undo index="0" exp="area" dr="AD$7:AD$502" r="AD521" sId="1"/>
    <undo index="65535" exp="area" dr="$F$7:$F$502" r="AC521" sId="1"/>
    <undo index="0" exp="area" dr="AC$7:AC$502" r="AC521" sId="1"/>
    <undo index="65535" exp="area" dr="$F$7:$F$502" r="AB521" sId="1"/>
    <undo index="0" exp="area" dr="AB$7:AB$502" r="AB521" sId="1"/>
    <undo index="65535" exp="area" dr="$F$7:$F$502" r="AA521" sId="1"/>
    <undo index="0" exp="area" dr="AA$7:AA$502" r="AA521" sId="1"/>
    <undo index="65535" exp="area" dr="$F$7:$F$502" r="Z521" sId="1"/>
    <undo index="0" exp="area" dr="Z$7:Z$502" r="Z521" sId="1"/>
    <undo index="65535" exp="area" dr="$F$7:$F$502" r="Y521" sId="1"/>
    <undo index="0" exp="area" dr="Y$7:Y$502" r="Y521" sId="1"/>
    <undo index="65535" exp="area" dr="$F$7:$F$502" r="X521" sId="1"/>
    <undo index="0" exp="area" dr="X$7:X$502" r="X521" sId="1"/>
    <undo index="65535" exp="area" dr="$F$7:$F$502" r="W521" sId="1"/>
    <undo index="0" exp="area" dr="W$7:W$502" r="W521" sId="1"/>
    <undo index="65535" exp="area" dr="$F$7:$F$502" r="V521" sId="1"/>
    <undo index="0" exp="area" dr="V$7:V$502" r="V521" sId="1"/>
    <undo index="65535" exp="area" dr="$F$7:$F$502" r="U521" sId="1"/>
    <undo index="0" exp="area" dr="U$7:U$502" r="U521" sId="1"/>
    <undo index="65535" exp="area" dr="$F$7:$F$502" r="T521" sId="1"/>
    <undo index="0" exp="area" dr="T$7:T$502" r="T521" sId="1"/>
    <undo index="65535" exp="area" dr="$F$7:$F$502" r="S521" sId="1"/>
    <undo index="0" exp="area" dr="S$7:S$502" r="S521" sId="1"/>
    <undo index="0" exp="area" dr="F$7:F$502" r="D521" sId="1"/>
    <undo index="65535" exp="area" dr="$F$7:$F$502" r="AK519" sId="1"/>
    <undo index="0" exp="area" dr="AK$7:AK$502" r="AK519" sId="1"/>
    <undo index="65535" exp="area" dr="$F$7:$F$502" r="AJ519" sId="1"/>
    <undo index="0" exp="area" dr="AJ$7:AJ$502" r="AJ519" sId="1"/>
    <undo index="65535" exp="area" dr="$F$7:$F$502" r="AG519" sId="1"/>
    <undo index="0" exp="area" dr="AG$7:AG$502" r="AG519" sId="1"/>
    <undo index="65535" exp="area" dr="$F$7:$F$502" r="AF519" sId="1"/>
    <undo index="0" exp="area" dr="AF$7:AF$502" r="AF519" sId="1"/>
    <undo index="65535" exp="area" dr="$F$7:$F$502" r="AE519" sId="1"/>
    <undo index="0" exp="area" dr="AE$7:AE$502" r="AE519" sId="1"/>
    <undo index="65535" exp="area" dr="$F$7:$F$502" r="AD519" sId="1"/>
    <undo index="0" exp="area" dr="AD$7:AD$502" r="AD519" sId="1"/>
    <undo index="65535" exp="area" dr="$F$7:$F$502" r="AC519" sId="1"/>
    <undo index="0" exp="area" dr="AC$7:AC$502" r="AC519" sId="1"/>
    <undo index="65535" exp="area" dr="$F$7:$F$502" r="AB519" sId="1"/>
    <undo index="0" exp="area" dr="AB$7:AB$502" r="AB519" sId="1"/>
    <undo index="65535" exp="area" dr="$F$7:$F$502" r="AA519" sId="1"/>
    <undo index="0" exp="area" dr="AA$7:AA$502" r="AA519" sId="1"/>
    <undo index="65535" exp="area" dr="$F$7:$F$502" r="Z519" sId="1"/>
    <undo index="0" exp="area" dr="Z$7:Z$502" r="Z519" sId="1"/>
    <undo index="65535" exp="area" dr="$F$7:$F$502" r="Y519" sId="1"/>
    <undo index="0" exp="area" dr="Y$7:Y$502" r="Y519" sId="1"/>
    <undo index="65535" exp="area" dr="$F$7:$F$502" r="X519" sId="1"/>
    <undo index="0" exp="area" dr="X$7:X$502" r="X519" sId="1"/>
    <undo index="65535" exp="area" dr="$F$7:$F$502" r="W519" sId="1"/>
    <undo index="0" exp="area" dr="W$7:W$502" r="W519" sId="1"/>
    <undo index="65535" exp="area" dr="$F$7:$F$502" r="V519" sId="1"/>
    <undo index="0" exp="area" dr="V$7:V$502" r="V519" sId="1"/>
    <undo index="65535" exp="area" dr="$F$7:$F$502" r="U519" sId="1"/>
    <undo index="0" exp="area" dr="U$7:U$502" r="U519" sId="1"/>
    <undo index="65535" exp="area" dr="$F$7:$F$502" r="T519" sId="1"/>
    <undo index="0" exp="area" dr="T$7:T$502" r="T519" sId="1"/>
    <undo index="65535" exp="area" dr="$F$7:$F$502" r="S519" sId="1"/>
    <undo index="0" exp="area" dr="S$7:S$502" r="S519" sId="1"/>
    <undo index="0" exp="area" dr="F$7:F$502" r="D519" sId="1"/>
    <undo index="65535" exp="area" dr="$F$7:$F$502" r="AK518" sId="1"/>
    <undo index="0" exp="area" dr="AK$7:AK$502" r="AK518" sId="1"/>
    <undo index="65535" exp="area" dr="$F$7:$F$502" r="AJ518" sId="1"/>
    <undo index="0" exp="area" dr="AJ$7:AJ$502" r="AJ518" sId="1"/>
    <undo index="65535" exp="area" dr="$F$7:$F$502" r="AG518" sId="1"/>
    <undo index="0" exp="area" dr="AG$7:AG$502" r="AG518" sId="1"/>
    <undo index="65535" exp="area" dr="$F$7:$F$502" r="AF518" sId="1"/>
    <undo index="0" exp="area" dr="AF$7:AF$502" r="AF518" sId="1"/>
    <undo index="65535" exp="area" dr="$F$7:$F$502" r="AE518" sId="1"/>
    <undo index="0" exp="area" dr="AE$7:AE$502" r="AE518" sId="1"/>
    <undo index="65535" exp="area" dr="$F$7:$F$502" r="AD518" sId="1"/>
    <undo index="0" exp="area" dr="AD$7:AD$502" r="AD518" sId="1"/>
    <undo index="65535" exp="area" dr="$F$7:$F$502" r="AC518" sId="1"/>
    <undo index="0" exp="area" dr="AC$7:AC$502" r="AC518" sId="1"/>
    <undo index="65535" exp="area" dr="$F$7:$F$502" r="AB518" sId="1"/>
    <undo index="0" exp="area" dr="AB$7:AB$502" r="AB518" sId="1"/>
    <undo index="65535" exp="area" dr="$F$7:$F$502" r="AA518" sId="1"/>
    <undo index="0" exp="area" dr="AA$7:AA$502" r="AA518" sId="1"/>
    <undo index="65535" exp="area" dr="$F$7:$F$502" r="Z518" sId="1"/>
    <undo index="0" exp="area" dr="Z$7:Z$502" r="Z518" sId="1"/>
    <undo index="65535" exp="area" dr="$F$7:$F$502" r="Y518" sId="1"/>
    <undo index="0" exp="area" dr="Y$7:Y$502" r="Y518" sId="1"/>
    <undo index="65535" exp="area" dr="$F$7:$F$502" r="X518" sId="1"/>
    <undo index="0" exp="area" dr="X$7:X$502" r="X518" sId="1"/>
    <undo index="65535" exp="area" dr="$F$7:$F$502" r="W518" sId="1"/>
    <undo index="0" exp="area" dr="W$7:W$502" r="W518" sId="1"/>
    <undo index="65535" exp="area" dr="$F$7:$F$502" r="V518" sId="1"/>
    <undo index="0" exp="area" dr="V$7:V$502" r="V518" sId="1"/>
    <undo index="65535" exp="area" dr="$F$7:$F$502" r="U518" sId="1"/>
    <undo index="0" exp="area" dr="U$7:U$502" r="U518" sId="1"/>
    <undo index="65535" exp="area" dr="$F$7:$F$502" r="T518" sId="1"/>
    <undo index="0" exp="area" dr="T$7:T$502" r="T518" sId="1"/>
    <undo index="65535" exp="area" dr="$F$7:$F$502" r="S518" sId="1"/>
    <undo index="0" exp="area" dr="S$7:S$502" r="S518" sId="1"/>
    <undo index="0" exp="area" dr="F$7:F$502" r="D518" sId="1"/>
    <undo index="65535" exp="area" dr="$F$7:$F$502" r="AK517" sId="1"/>
    <undo index="0" exp="area" dr="AK$7:AK$502" r="AK517" sId="1"/>
    <undo index="65535" exp="area" dr="$F$7:$F$502" r="AJ517" sId="1"/>
    <undo index="0" exp="area" dr="AJ$7:AJ$502" r="AJ517" sId="1"/>
    <undo index="65535" exp="area" dr="$F$7:$F$502" r="AG517" sId="1"/>
    <undo index="0" exp="area" dr="AG$7:AG$502" r="AG517" sId="1"/>
    <undo index="65535" exp="area" dr="$F$7:$F$502" r="AF517" sId="1"/>
    <undo index="0" exp="area" dr="AF$7:AF$502" r="AF517" sId="1"/>
    <undo index="65535" exp="area" dr="$F$7:$F$502" r="AE517" sId="1"/>
    <undo index="0" exp="area" dr="AE$7:AE$502" r="AE517" sId="1"/>
    <undo index="65535" exp="area" dr="$F$7:$F$502" r="AD517" sId="1"/>
    <undo index="0" exp="area" dr="AD$7:AD$502" r="AD517" sId="1"/>
    <undo index="65535" exp="area" dr="$F$7:$F$502" r="AC517" sId="1"/>
    <undo index="0" exp="area" dr="AC$7:AC$502" r="AC517" sId="1"/>
    <undo index="65535" exp="area" dr="$F$7:$F$502" r="AB517" sId="1"/>
    <undo index="0" exp="area" dr="AB$7:AB$502" r="AB517" sId="1"/>
    <undo index="65535" exp="area" dr="$F$7:$F$502" r="AA517" sId="1"/>
    <undo index="0" exp="area" dr="AA$7:AA$502" r="AA517" sId="1"/>
    <undo index="65535" exp="area" dr="$F$7:$F$502" r="Z517" sId="1"/>
    <undo index="0" exp="area" dr="Z$7:Z$502" r="Z517" sId="1"/>
    <undo index="65535" exp="area" dr="$F$7:$F$502" r="Y517" sId="1"/>
    <undo index="0" exp="area" dr="Y$7:Y$502" r="Y517" sId="1"/>
    <undo index="65535" exp="area" dr="$F$7:$F$502" r="X517" sId="1"/>
    <undo index="0" exp="area" dr="X$7:X$502" r="X517" sId="1"/>
    <undo index="65535" exp="area" dr="$F$7:$F$502" r="W517" sId="1"/>
    <undo index="0" exp="area" dr="W$7:W$502" r="W517" sId="1"/>
    <undo index="65535" exp="area" dr="$F$7:$F$502" r="V517" sId="1"/>
    <undo index="0" exp="area" dr="V$7:V$502" r="V517" sId="1"/>
    <undo index="65535" exp="area" dr="$F$7:$F$502" r="U517" sId="1"/>
    <undo index="0" exp="area" dr="U$7:U$502" r="U517" sId="1"/>
    <undo index="65535" exp="area" dr="$F$7:$F$502" r="T517" sId="1"/>
    <undo index="0" exp="area" dr="T$7:T$502" r="T517" sId="1"/>
    <undo index="65535" exp="area" dr="$F$7:$F$502" r="S517" sId="1"/>
    <undo index="0" exp="area" dr="S$7:S$502" r="S517" sId="1"/>
    <undo index="0" exp="area" dr="F$7:F$502" r="D517" sId="1"/>
    <undo index="65535" exp="area" dr="$F$7:$F$502" r="AK516" sId="1"/>
    <undo index="0" exp="area" dr="AK$7:AK$502" r="AK516" sId="1"/>
    <undo index="65535" exp="area" dr="$F$7:$F$502" r="AJ516" sId="1"/>
    <undo index="0" exp="area" dr="AJ$7:AJ$502" r="AJ516" sId="1"/>
    <undo index="65535" exp="area" dr="$F$7:$F$502" r="AG516" sId="1"/>
    <undo index="0" exp="area" dr="AG$7:AG$502" r="AG516" sId="1"/>
    <undo index="65535" exp="area" dr="$F$7:$F$502" r="AF516" sId="1"/>
    <undo index="0" exp="area" dr="AF$7:AF$502" r="AF516" sId="1"/>
    <undo index="65535" exp="area" dr="$F$7:$F$502" r="AE516" sId="1"/>
    <undo index="0" exp="area" dr="AE$7:AE$502" r="AE516" sId="1"/>
    <undo index="65535" exp="area" dr="$F$7:$F$502" r="AD516" sId="1"/>
    <undo index="0" exp="area" dr="AD$7:AD$502" r="AD516" sId="1"/>
    <undo index="65535" exp="area" dr="$F$7:$F$502" r="AC516" sId="1"/>
    <undo index="0" exp="area" dr="AC$7:AC$502" r="AC516" sId="1"/>
    <undo index="65535" exp="area" dr="$F$7:$F$502" r="AB516" sId="1"/>
    <undo index="0" exp="area" dr="AB$7:AB$502" r="AB516" sId="1"/>
    <undo index="65535" exp="area" dr="$F$7:$F$502" r="AA516" sId="1"/>
    <undo index="0" exp="area" dr="AA$7:AA$502" r="AA516" sId="1"/>
    <undo index="65535" exp="area" dr="$F$7:$F$502" r="Z516" sId="1"/>
    <undo index="0" exp="area" dr="Z$7:Z$502" r="Z516" sId="1"/>
    <undo index="65535" exp="area" dr="$F$7:$F$502" r="Y516" sId="1"/>
    <undo index="0" exp="area" dr="Y$7:Y$502" r="Y516" sId="1"/>
    <undo index="65535" exp="area" dr="$F$7:$F$502" r="X516" sId="1"/>
    <undo index="0" exp="area" dr="X$7:X$502" r="X516" sId="1"/>
    <undo index="65535" exp="area" dr="$F$7:$F$502" r="W516" sId="1"/>
    <undo index="0" exp="area" dr="W$7:W$502" r="W516" sId="1"/>
    <undo index="65535" exp="area" dr="$F$7:$F$502" r="V516" sId="1"/>
    <undo index="0" exp="area" dr="V$7:V$502" r="V516" sId="1"/>
    <undo index="65535" exp="area" dr="$F$7:$F$502" r="U516" sId="1"/>
    <undo index="0" exp="area" dr="U$7:U$502" r="U516" sId="1"/>
    <undo index="65535" exp="area" dr="$F$7:$F$502" r="T516" sId="1"/>
    <undo index="0" exp="area" dr="T$7:T$502" r="T516" sId="1"/>
    <undo index="65535" exp="area" dr="$F$7:$F$502" r="S516" sId="1"/>
    <undo index="0" exp="area" dr="S$7:S$502" r="S516" sId="1"/>
    <undo index="0" exp="area" dr="F$7:F$502" r="D516" sId="1"/>
    <undo index="65535" exp="area" dr="$F$7:$F$502" r="AK515" sId="1"/>
    <undo index="0" exp="area" dr="AK$7:AK$502" r="AK515" sId="1"/>
    <undo index="65535" exp="area" dr="$F$7:$F$502" r="AJ515" sId="1"/>
    <undo index="0" exp="area" dr="AJ$7:AJ$502" r="AJ515" sId="1"/>
    <undo index="65535" exp="area" dr="$F$7:$F$502" r="AG515" sId="1"/>
    <undo index="0" exp="area" dr="AG$7:AG$502" r="AG515" sId="1"/>
    <undo index="65535" exp="area" dr="$F$7:$F$502" r="AF515" sId="1"/>
    <undo index="0" exp="area" dr="AF$7:AF$502" r="AF515" sId="1"/>
    <undo index="65535" exp="area" dr="$F$7:$F$502" r="AE515" sId="1"/>
    <undo index="0" exp="area" dr="AE$7:AE$502" r="AE515" sId="1"/>
    <undo index="65535" exp="area" dr="$F$7:$F$502" r="AD515" sId="1"/>
    <undo index="0" exp="area" dr="AD$7:AD$502" r="AD515" sId="1"/>
    <undo index="65535" exp="area" dr="$F$7:$F$502" r="AC515" sId="1"/>
    <undo index="0" exp="area" dr="AC$7:AC$502" r="AC515" sId="1"/>
    <undo index="65535" exp="area" dr="$F$7:$F$502" r="AB515" sId="1"/>
    <undo index="0" exp="area" dr="AB$7:AB$502" r="AB515" sId="1"/>
    <undo index="65535" exp="area" dr="$F$7:$F$502" r="AA515" sId="1"/>
    <undo index="0" exp="area" dr="AA$7:AA$502" r="AA515" sId="1"/>
    <undo index="65535" exp="area" dr="$F$7:$F$502" r="Z515" sId="1"/>
    <undo index="0" exp="area" dr="Z$7:Z$502" r="Z515" sId="1"/>
    <undo index="65535" exp="area" dr="$F$7:$F$502" r="Y515" sId="1"/>
    <undo index="0" exp="area" dr="Y$7:Y$502" r="Y515" sId="1"/>
    <undo index="65535" exp="area" dr="$F$7:$F$502" r="X515" sId="1"/>
    <undo index="0" exp="area" dr="X$7:X$502" r="X515" sId="1"/>
    <undo index="65535" exp="area" dr="$F$7:$F$502" r="W515" sId="1"/>
    <undo index="0" exp="area" dr="W$7:W$502" r="W515" sId="1"/>
    <undo index="65535" exp="area" dr="$F$7:$F$502" r="V515" sId="1"/>
    <undo index="0" exp="area" dr="V$7:V$502" r="V515" sId="1"/>
    <undo index="65535" exp="area" dr="$F$7:$F$502" r="U515" sId="1"/>
    <undo index="0" exp="area" dr="U$7:U$502" r="U515" sId="1"/>
    <undo index="65535" exp="area" dr="$F$7:$F$502" r="T515" sId="1"/>
    <undo index="0" exp="area" dr="T$7:T$502" r="T515" sId="1"/>
    <undo index="65535" exp="area" dr="$F$7:$F$502" r="S515" sId="1"/>
    <undo index="0" exp="area" dr="S$7:S$502" r="S515" sId="1"/>
    <undo index="0" exp="area" dr="F$7:F$502" r="D515" sId="1"/>
    <undo index="65535" exp="area" dr="$F$7:$F$502" r="AK514" sId="1"/>
    <undo index="0" exp="area" dr="AK$7:AK$502" r="AK514" sId="1"/>
    <undo index="65535" exp="area" dr="$F$7:$F$502" r="AJ514" sId="1"/>
    <undo index="0" exp="area" dr="AJ$7:AJ$502" r="AJ514" sId="1"/>
    <undo index="65535" exp="area" dr="$F$7:$F$502" r="AG514" sId="1"/>
    <undo index="0" exp="area" dr="AG$7:AG$502" r="AG514" sId="1"/>
    <undo index="65535" exp="area" dr="$F$7:$F$502" r="AF514" sId="1"/>
    <undo index="0" exp="area" dr="AF$7:AF$502" r="AF514" sId="1"/>
    <undo index="65535" exp="area" dr="$F$7:$F$502" r="AE514" sId="1"/>
    <undo index="0" exp="area" dr="AE$7:AE$502" r="AE514" sId="1"/>
    <undo index="65535" exp="area" dr="$F$7:$F$502" r="AD514" sId="1"/>
    <undo index="0" exp="area" dr="AD$7:AD$502" r="AD514" sId="1"/>
    <undo index="65535" exp="area" dr="$F$7:$F$502" r="AC514" sId="1"/>
    <undo index="0" exp="area" dr="AC$7:AC$502" r="AC514" sId="1"/>
    <undo index="65535" exp="area" dr="$F$7:$F$502" r="AB514" sId="1"/>
    <undo index="0" exp="area" dr="AB$7:AB$502" r="AB514" sId="1"/>
    <undo index="65535" exp="area" dr="$F$7:$F$502" r="AA514" sId="1"/>
    <undo index="0" exp="area" dr="AA$7:AA$502" r="AA514" sId="1"/>
    <undo index="65535" exp="area" dr="$F$7:$F$502" r="Z514" sId="1"/>
    <undo index="0" exp="area" dr="Z$7:Z$502" r="Z514" sId="1"/>
    <undo index="65535" exp="area" dr="$F$7:$F$502" r="Y514" sId="1"/>
    <undo index="0" exp="area" dr="Y$7:Y$502" r="Y514" sId="1"/>
    <undo index="65535" exp="area" dr="$F$7:$F$502" r="X514" sId="1"/>
    <undo index="0" exp="area" dr="X$7:X$502" r="X514" sId="1"/>
    <undo index="65535" exp="area" dr="$F$7:$F$502" r="W514" sId="1"/>
    <undo index="0" exp="area" dr="W$7:W$502" r="W514" sId="1"/>
    <undo index="65535" exp="area" dr="$F$7:$F$502" r="V514" sId="1"/>
    <undo index="0" exp="area" dr="V$7:V$502" r="V514" sId="1"/>
    <undo index="65535" exp="area" dr="$F$7:$F$502" r="U514" sId="1"/>
    <undo index="0" exp="area" dr="U$7:U$502" r="U514" sId="1"/>
    <undo index="65535" exp="area" dr="$F$7:$F$502" r="T514" sId="1"/>
    <undo index="0" exp="area" dr="T$7:T$502" r="T514" sId="1"/>
    <undo index="65535" exp="area" dr="$F$7:$F$502" r="S514" sId="1"/>
    <undo index="0" exp="area" dr="S$7:S$502" r="S514" sId="1"/>
    <undo index="0" exp="area" dr="F$7:F$502" r="D514" sId="1"/>
    <undo index="65535" exp="area" dr="$F$7:$F$502" r="AK513" sId="1"/>
    <undo index="0" exp="area" dr="AK$7:AK$502" r="AK513" sId="1"/>
    <undo index="65535" exp="area" dr="$F$7:$F$502" r="AJ513" sId="1"/>
    <undo index="0" exp="area" dr="AJ$7:AJ$502" r="AJ513" sId="1"/>
    <undo index="65535" exp="area" dr="$F$7:$F$502" r="AG513" sId="1"/>
    <undo index="0" exp="area" dr="AG$7:AG$502" r="AG513" sId="1"/>
    <undo index="65535" exp="area" dr="$F$7:$F$502" r="AF513" sId="1"/>
    <undo index="0" exp="area" dr="AF$7:AF$502" r="AF513" sId="1"/>
    <undo index="65535" exp="area" dr="$F$7:$F$502" r="AE513" sId="1"/>
    <undo index="0" exp="area" dr="AE$7:AE$502" r="AE513" sId="1"/>
    <undo index="65535" exp="area" dr="$F$7:$F$502" r="AD513" sId="1"/>
    <undo index="0" exp="area" dr="AD$7:AD$502" r="AD513" sId="1"/>
    <undo index="65535" exp="area" dr="$F$7:$F$502" r="AC513" sId="1"/>
    <undo index="0" exp="area" dr="AC$7:AC$502" r="AC513" sId="1"/>
    <undo index="65535" exp="area" dr="$F$7:$F$502" r="AB513" sId="1"/>
    <undo index="0" exp="area" dr="AB$7:AB$502" r="AB513" sId="1"/>
    <undo index="65535" exp="area" dr="$F$7:$F$502" r="AA513" sId="1"/>
    <undo index="0" exp="area" dr="AA$7:AA$502" r="AA513" sId="1"/>
    <undo index="65535" exp="area" dr="$F$7:$F$502" r="Z513" sId="1"/>
    <undo index="0" exp="area" dr="Z$7:Z$502" r="Z513" sId="1"/>
    <undo index="65535" exp="area" dr="$F$7:$F$502" r="Y513" sId="1"/>
    <undo index="0" exp="area" dr="Y$7:Y$502" r="Y513" sId="1"/>
    <undo index="65535" exp="area" dr="$F$7:$F$502" r="X513" sId="1"/>
    <undo index="0" exp="area" dr="X$7:X$502" r="X513" sId="1"/>
    <undo index="65535" exp="area" dr="$F$7:$F$502" r="W513" sId="1"/>
    <undo index="0" exp="area" dr="W$7:W$502" r="W513" sId="1"/>
    <undo index="65535" exp="area" dr="$F$7:$F$502" r="V513" sId="1"/>
    <undo index="0" exp="area" dr="V$7:V$502" r="V513" sId="1"/>
    <undo index="65535" exp="area" dr="$F$7:$F$502" r="U513" sId="1"/>
    <undo index="0" exp="area" dr="U$7:U$502" r="U513" sId="1"/>
    <undo index="65535" exp="area" dr="$F$7:$F$502" r="T513" sId="1"/>
    <undo index="0" exp="area" dr="T$7:T$502" r="T513" sId="1"/>
    <undo index="65535" exp="area" dr="$F$7:$F$502" r="S513" sId="1"/>
    <undo index="0" exp="area" dr="S$7:S$502" r="S513" sId="1"/>
    <undo index="0" exp="area" dr="F$7:F$502" r="D513" sId="1"/>
    <undo index="65535" exp="area" dr="$F$7:$F$502" r="AK512" sId="1"/>
    <undo index="0" exp="area" dr="AK$7:AK$502" r="AK512" sId="1"/>
    <undo index="65535" exp="area" dr="$F$7:$F$502" r="AJ512" sId="1"/>
    <undo index="0" exp="area" dr="AJ$7:AJ$502" r="AJ512" sId="1"/>
    <undo index="65535" exp="area" dr="$F$7:$F$502" r="AG512" sId="1"/>
    <undo index="0" exp="area" dr="AG$7:AG$502" r="AG512" sId="1"/>
    <undo index="65535" exp="area" dr="$F$7:$F$502" r="AF512" sId="1"/>
    <undo index="0" exp="area" dr="AF$7:AF$502" r="AF512" sId="1"/>
    <undo index="65535" exp="area" dr="$F$7:$F$502" r="AE512" sId="1"/>
    <undo index="0" exp="area" dr="AE$7:AE$502" r="AE512" sId="1"/>
    <undo index="65535" exp="area" dr="$F$7:$F$502" r="AD512" sId="1"/>
    <undo index="0" exp="area" dr="AD$7:AD$502" r="AD512" sId="1"/>
    <undo index="65535" exp="area" dr="$F$7:$F$502" r="AC512" sId="1"/>
    <undo index="0" exp="area" dr="AC$7:AC$502" r="AC512" sId="1"/>
    <undo index="65535" exp="area" dr="$F$7:$F$502" r="AB512" sId="1"/>
    <undo index="0" exp="area" dr="AB$7:AB$502" r="AB512" sId="1"/>
    <undo index="65535" exp="area" dr="$F$7:$F$502" r="AA512" sId="1"/>
    <undo index="0" exp="area" dr="AA$7:AA$502" r="AA512" sId="1"/>
    <undo index="65535" exp="area" dr="$F$7:$F$502" r="Z512" sId="1"/>
    <undo index="0" exp="area" dr="Z$7:Z$502" r="Z512" sId="1"/>
    <undo index="65535" exp="area" dr="$F$7:$F$502" r="Y512" sId="1"/>
    <undo index="0" exp="area" dr="Y$7:Y$502" r="Y512" sId="1"/>
    <undo index="65535" exp="area" dr="$F$7:$F$502" r="X512" sId="1"/>
    <undo index="0" exp="area" dr="X$7:X$502" r="X512" sId="1"/>
    <undo index="65535" exp="area" dr="$F$7:$F$502" r="W512" sId="1"/>
    <undo index="0" exp="area" dr="W$7:W$502" r="W512" sId="1"/>
    <undo index="65535" exp="area" dr="$F$7:$F$502" r="V512" sId="1"/>
    <undo index="0" exp="area" dr="V$7:V$502" r="V512" sId="1"/>
    <undo index="65535" exp="area" dr="$F$7:$F$502" r="U512" sId="1"/>
    <undo index="0" exp="area" dr="U$7:U$502" r="U512" sId="1"/>
    <undo index="65535" exp="area" dr="$F$7:$F$502" r="T512" sId="1"/>
    <undo index="0" exp="area" dr="T$7:T$502" r="T512" sId="1"/>
    <undo index="65535" exp="area" dr="$F$7:$F$502" r="S512" sId="1"/>
    <undo index="0" exp="area" dr="S$7:S$502" r="S512" sId="1"/>
    <undo index="0" exp="area" dr="F$7:F$502" r="D512" sId="1"/>
    <undo index="65535" exp="area" dr="$F$7:$F$502" r="AK510" sId="1"/>
    <undo index="0" exp="area" dr="AK$7:AK$502" r="AK510" sId="1"/>
    <undo index="65535" exp="area" dr="$F$7:$F$502" r="AJ510" sId="1"/>
    <undo index="0" exp="area" dr="AJ$7:AJ$502" r="AJ510" sId="1"/>
    <undo index="65535" exp="area" dr="$F$7:$F$502" r="AG510" sId="1"/>
    <undo index="0" exp="area" dr="AG$7:AG$502" r="AG510" sId="1"/>
    <undo index="65535" exp="area" dr="$F$7:$F$502" r="AF510" sId="1"/>
    <undo index="0" exp="area" dr="AF$7:AF$502" r="AF510" sId="1"/>
    <undo index="65535" exp="area" dr="$F$7:$F$502" r="AE510" sId="1"/>
    <undo index="0" exp="area" dr="AE$7:AE$502" r="AE510" sId="1"/>
    <undo index="65535" exp="area" dr="$F$7:$F$502" r="AD510" sId="1"/>
    <undo index="0" exp="area" dr="AD$7:AD$502" r="AD510" sId="1"/>
    <undo index="65535" exp="area" dr="$F$7:$F$502" r="AC510" sId="1"/>
    <undo index="0" exp="area" dr="AC$7:AC$502" r="AC510" sId="1"/>
    <undo index="65535" exp="area" dr="$F$7:$F$502" r="AB510" sId="1"/>
    <undo index="0" exp="area" dr="AB$7:AB$502" r="AB510" sId="1"/>
    <undo index="65535" exp="area" dr="$F$7:$F$502" r="AA510" sId="1"/>
    <undo index="0" exp="area" dr="AA$7:AA$502" r="AA510" sId="1"/>
    <undo index="65535" exp="area" dr="$F$7:$F$502" r="Z510" sId="1"/>
    <undo index="0" exp="area" dr="Z$7:Z$502" r="Z510" sId="1"/>
    <undo index="65535" exp="area" dr="$F$7:$F$502" r="Y510" sId="1"/>
    <undo index="0" exp="area" dr="Y$7:Y$502" r="Y510" sId="1"/>
    <undo index="65535" exp="area" dr="$F$7:$F$502" r="X510" sId="1"/>
    <undo index="0" exp="area" dr="X$7:X$502" r="X510" sId="1"/>
    <undo index="65535" exp="area" dr="$F$7:$F$502" r="W510" sId="1"/>
    <undo index="0" exp="area" dr="W$7:W$502" r="W510" sId="1"/>
    <undo index="65535" exp="area" dr="$F$7:$F$502" r="V510" sId="1"/>
    <undo index="0" exp="area" dr="V$7:V$502" r="V510" sId="1"/>
    <undo index="65535" exp="area" dr="$F$7:$F$502" r="U510" sId="1"/>
    <undo index="0" exp="area" dr="U$7:U$502" r="U510" sId="1"/>
    <undo index="65535" exp="area" dr="$F$7:$F$502" r="T510" sId="1"/>
    <undo index="0" exp="area" dr="T$7:T$502" r="T510" sId="1"/>
    <undo index="65535" exp="area" dr="$F$7:$F$502" r="S510" sId="1"/>
    <undo index="0" exp="area" dr="S$7:S$502" r="S510" sId="1"/>
    <undo index="0" exp="area" dr="F$7:F$502" r="D510" sId="1"/>
    <undo index="65535" exp="area" dr="$F$7:$F$502" r="AK509" sId="1"/>
    <undo index="0" exp="area" dr="AK$7:AK$502" r="AK509" sId="1"/>
    <undo index="65535" exp="area" dr="$F$7:$F$502" r="AJ509" sId="1"/>
    <undo index="0" exp="area" dr="AJ$7:AJ$502" r="AJ509" sId="1"/>
    <undo index="65535" exp="area" dr="$F$7:$F$502" r="AG509" sId="1"/>
    <undo index="0" exp="area" dr="AG$7:AG$502" r="AG509" sId="1"/>
    <undo index="65535" exp="area" dr="$F$7:$F$502" r="AF509" sId="1"/>
    <undo index="0" exp="area" dr="AF$7:AF$502" r="AF509" sId="1"/>
    <undo index="65535" exp="area" dr="$F$7:$F$502" r="AE509" sId="1"/>
    <undo index="0" exp="area" dr="AE$7:AE$502" r="AE509" sId="1"/>
    <undo index="65535" exp="area" dr="$F$7:$F$502" r="AD509" sId="1"/>
    <undo index="0" exp="area" dr="AD$7:AD$502" r="AD509" sId="1"/>
    <undo index="65535" exp="area" dr="$F$7:$F$502" r="AC509" sId="1"/>
    <undo index="0" exp="area" dr="AC$7:AC$502" r="AC509" sId="1"/>
    <undo index="65535" exp="area" dr="$F$7:$F$502" r="AB509" sId="1"/>
    <undo index="0" exp="area" dr="AB$7:AB$502" r="AB509" sId="1"/>
    <undo index="65535" exp="area" dr="$F$7:$F$502" r="AA509" sId="1"/>
    <undo index="0" exp="area" dr="AA$7:AA$502" r="AA509" sId="1"/>
    <undo index="65535" exp="area" dr="$F$7:$F$502" r="Z509" sId="1"/>
    <undo index="0" exp="area" dr="Z$7:Z$502" r="Z509" sId="1"/>
    <undo index="65535" exp="area" dr="$F$7:$F$502" r="Y509" sId="1"/>
    <undo index="0" exp="area" dr="Y$7:Y$502" r="Y509" sId="1"/>
    <undo index="65535" exp="area" dr="$F$7:$F$502" r="X509" sId="1"/>
    <undo index="0" exp="area" dr="X$7:X$502" r="X509" sId="1"/>
    <undo index="65535" exp="area" dr="$F$7:$F$502" r="W509" sId="1"/>
    <undo index="0" exp="area" dr="W$7:W$502" r="W509" sId="1"/>
    <undo index="65535" exp="area" dr="$F$7:$F$502" r="V509" sId="1"/>
    <undo index="0" exp="area" dr="V$7:V$502" r="V509" sId="1"/>
    <undo index="65535" exp="area" dr="$F$7:$F$502" r="U509" sId="1"/>
    <undo index="0" exp="area" dr="U$7:U$502" r="U509" sId="1"/>
    <undo index="65535" exp="area" dr="$F$7:$F$502" r="T509" sId="1"/>
    <undo index="0" exp="area" dr="T$7:T$502" r="T509" sId="1"/>
    <undo index="65535" exp="area" dr="$F$7:$F$502" r="S509" sId="1"/>
    <undo index="0" exp="area" dr="S$7:S$502" r="S509" sId="1"/>
    <undo index="0" exp="area" dr="F$7:F$502" r="D509" sId="1"/>
    <undo index="65535" exp="area" dr="$F$7:$F$502" r="AK508" sId="1"/>
    <undo index="0" exp="area" dr="AK$7:AK$502" r="AK508" sId="1"/>
    <undo index="65535" exp="area" dr="$F$7:$F$502" r="AJ508" sId="1"/>
    <undo index="0" exp="area" dr="AJ$7:AJ$502" r="AJ508" sId="1"/>
    <undo index="65535" exp="area" dr="$F$7:$F$502" r="AG508" sId="1"/>
    <undo index="0" exp="area" dr="AG$7:AG$502" r="AG508" sId="1"/>
    <undo index="65535" exp="area" dr="$F$7:$F$502" r="AF508" sId="1"/>
    <undo index="0" exp="area" dr="AF$7:AF$502" r="AF508" sId="1"/>
    <undo index="65535" exp="area" dr="$F$7:$F$502" r="AE508" sId="1"/>
    <undo index="0" exp="area" dr="AE$7:AE$502" r="AE508" sId="1"/>
    <undo index="65535" exp="area" dr="$F$7:$F$502" r="AD508" sId="1"/>
    <undo index="0" exp="area" dr="AD$7:AD$502" r="AD508" sId="1"/>
    <undo index="65535" exp="area" dr="$F$7:$F$502" r="AC508" sId="1"/>
    <undo index="0" exp="area" dr="AC$7:AC$502" r="AC508" sId="1"/>
    <undo index="65535" exp="area" dr="$F$7:$F$502" r="AB508" sId="1"/>
    <undo index="0" exp="area" dr="AB$7:AB$502" r="AB508" sId="1"/>
    <undo index="65535" exp="area" dr="$F$7:$F$502" r="AA508" sId="1"/>
    <undo index="0" exp="area" dr="AA$7:AA$502" r="AA508" sId="1"/>
    <undo index="65535" exp="area" dr="$F$7:$F$502" r="Z508" sId="1"/>
    <undo index="0" exp="area" dr="Z$7:Z$502" r="Z508" sId="1"/>
    <undo index="65535" exp="area" dr="$F$7:$F$502" r="Y508" sId="1"/>
    <undo index="0" exp="area" dr="Y$7:Y$502" r="Y508" sId="1"/>
    <undo index="65535" exp="area" dr="$F$7:$F$502" r="X508" sId="1"/>
    <undo index="0" exp="area" dr="X$7:X$502" r="X508" sId="1"/>
    <undo index="65535" exp="area" dr="$F$7:$F$502" r="W508" sId="1"/>
    <undo index="0" exp="area" dr="W$7:W$502" r="W508" sId="1"/>
    <undo index="65535" exp="area" dr="$F$7:$F$502" r="V508" sId="1"/>
    <undo index="0" exp="area" dr="V$7:V$502" r="V508" sId="1"/>
    <undo index="65535" exp="area" dr="$F$7:$F$502" r="U508" sId="1"/>
    <undo index="0" exp="area" dr="U$7:U$502" r="U508" sId="1"/>
    <undo index="65535" exp="area" dr="$F$7:$F$502" r="T508" sId="1"/>
    <undo index="0" exp="area" dr="T$7:T$502" r="T508" sId="1"/>
    <undo index="65535" exp="area" dr="$F$7:$F$502" r="S508" sId="1"/>
    <undo index="0" exp="area" dr="S$7:S$502" r="S508" sId="1"/>
    <undo index="0" exp="area" dr="F$7:F$502" r="D508" sId="1"/>
    <undo index="65535" exp="area" dr="$F$7:$F$502" r="AK507" sId="1"/>
    <undo index="0" exp="area" dr="AK$7:AK$502" r="AK507" sId="1"/>
    <undo index="65535" exp="area" dr="$F$7:$F$502" r="AJ507" sId="1"/>
    <undo index="0" exp="area" dr="AJ$7:AJ$502" r="AJ507" sId="1"/>
    <undo index="65535" exp="area" dr="$F$7:$F$502" r="AG507" sId="1"/>
    <undo index="0" exp="area" dr="AG$7:AG$502" r="AG507" sId="1"/>
    <undo index="65535" exp="area" dr="$F$7:$F$502" r="AF507" sId="1"/>
    <undo index="0" exp="area" dr="AF$7:AF$502" r="AF507" sId="1"/>
    <undo index="65535" exp="area" dr="$F$7:$F$502" r="AE507" sId="1"/>
    <undo index="0" exp="area" dr="AE$7:AE$502" r="AE507" sId="1"/>
    <undo index="65535" exp="area" dr="$F$7:$F$502" r="AD507" sId="1"/>
    <undo index="0" exp="area" dr="AD$7:AD$502" r="AD507" sId="1"/>
    <undo index="65535" exp="area" dr="$F$7:$F$502" r="AC507" sId="1"/>
    <undo index="0" exp="area" dr="AC$7:AC$502" r="AC507" sId="1"/>
    <undo index="65535" exp="area" dr="$F$7:$F$502" r="AB507" sId="1"/>
    <undo index="0" exp="area" dr="AB$7:AB$502" r="AB507" sId="1"/>
    <undo index="65535" exp="area" dr="$F$7:$F$502" r="AA507" sId="1"/>
    <undo index="0" exp="area" dr="AA$7:AA$502" r="AA507" sId="1"/>
    <undo index="65535" exp="area" dr="$F$7:$F$502" r="Z507" sId="1"/>
    <undo index="0" exp="area" dr="Z$7:Z$502" r="Z507" sId="1"/>
    <undo index="65535" exp="area" dr="$F$7:$F$502" r="Y507" sId="1"/>
    <undo index="0" exp="area" dr="Y$7:Y$502" r="Y507" sId="1"/>
    <undo index="65535" exp="area" dr="$F$7:$F$502" r="X507" sId="1"/>
    <undo index="0" exp="area" dr="X$7:X$502" r="X507" sId="1"/>
    <undo index="65535" exp="area" dr="$F$7:$F$502" r="W507" sId="1"/>
    <undo index="0" exp="area" dr="W$7:W$502" r="W507" sId="1"/>
    <undo index="65535" exp="area" dr="$F$7:$F$502" r="V507" sId="1"/>
    <undo index="0" exp="area" dr="V$7:V$502" r="V507" sId="1"/>
    <undo index="65535" exp="area" dr="$F$7:$F$502" r="U507" sId="1"/>
    <undo index="0" exp="area" dr="U$7:U$502" r="U507" sId="1"/>
    <undo index="65535" exp="area" dr="$F$7:$F$502" r="T507" sId="1"/>
    <undo index="0" exp="area" dr="T$7:T$502" r="T507" sId="1"/>
    <undo index="65535" exp="area" dr="$F$7:$F$502" r="S507" sId="1"/>
    <undo index="0" exp="area" dr="S$7:S$502" r="S507" sId="1"/>
    <undo index="0" exp="area" dr="F$7:F$502" r="D507" sId="1"/>
    <undo index="65535" exp="area" dr="$F$7:$F$502" r="AK506" sId="1"/>
    <undo index="0" exp="area" dr="AK$7:AK$502" r="AK506" sId="1"/>
    <undo index="65535" exp="area" dr="$F$7:$F$502" r="AJ506" sId="1"/>
    <undo index="0" exp="area" dr="AJ$7:AJ$502" r="AJ506" sId="1"/>
    <undo index="65535" exp="area" dr="$F$7:$F$502" r="AG506" sId="1"/>
    <undo index="0" exp="area" dr="AG$7:AG$502" r="AG506" sId="1"/>
    <undo index="65535" exp="area" dr="$F$7:$F$502" r="AF506" sId="1"/>
    <undo index="0" exp="area" dr="AF$7:AF$502" r="AF506" sId="1"/>
    <undo index="65535" exp="area" dr="$F$7:$F$502" r="AE506" sId="1"/>
    <undo index="0" exp="area" dr="AE$7:AE$502" r="AE506" sId="1"/>
    <undo index="65535" exp="area" dr="$F$7:$F$502" r="AD506" sId="1"/>
    <undo index="0" exp="area" dr="AD$7:AD$502" r="AD506" sId="1"/>
    <undo index="65535" exp="area" dr="$F$7:$F$502" r="AC506" sId="1"/>
    <undo index="0" exp="area" dr="AC$7:AC$502" r="AC506" sId="1"/>
    <undo index="65535" exp="area" dr="$F$7:$F$502" r="AB506" sId="1"/>
    <undo index="0" exp="area" dr="AB$7:AB$502" r="AB506" sId="1"/>
    <undo index="65535" exp="area" dr="$F$7:$F$502" r="AA506" sId="1"/>
    <undo index="0" exp="area" dr="AA$7:AA$502" r="AA506" sId="1"/>
    <undo index="65535" exp="area" dr="$F$7:$F$502" r="Z506" sId="1"/>
    <undo index="0" exp="area" dr="Z$7:Z$502" r="Z506" sId="1"/>
    <undo index="65535" exp="area" dr="$F$7:$F$502" r="Y506" sId="1"/>
    <undo index="0" exp="area" dr="Y$7:Y$502" r="Y506" sId="1"/>
    <undo index="65535" exp="area" dr="$F$7:$F$502" r="X506" sId="1"/>
    <undo index="0" exp="area" dr="X$7:X$502" r="X506" sId="1"/>
    <undo index="65535" exp="area" dr="$F$7:$F$502" r="W506" sId="1"/>
    <undo index="0" exp="area" dr="W$7:W$502" r="W506" sId="1"/>
    <undo index="65535" exp="area" dr="$F$7:$F$502" r="V506" sId="1"/>
    <undo index="0" exp="area" dr="V$7:V$502" r="V506" sId="1"/>
    <undo index="65535" exp="area" dr="$F$7:$F$502" r="U506" sId="1"/>
    <undo index="0" exp="area" dr="U$7:U$502" r="U506" sId="1"/>
    <undo index="65535" exp="area" dr="$F$7:$F$502" r="T506" sId="1"/>
    <undo index="0" exp="area" dr="T$7:T$502" r="T506" sId="1"/>
    <undo index="65535" exp="area" dr="$F$7:$F$502" r="S506" sId="1"/>
    <undo index="0" exp="area" dr="S$7:S$502" r="S506" sId="1"/>
    <undo index="65535" exp="area" dr="$F$7:$F$502" r="AK505" sId="1"/>
    <undo index="0" exp="area" dr="AK$7:AK$502" r="AK505" sId="1"/>
    <undo index="65535" exp="area" dr="$F$7:$F$502" r="AJ505" sId="1"/>
    <undo index="0" exp="area" dr="AJ$7:AJ$502" r="AJ505" sId="1"/>
    <undo index="65535" exp="area" dr="$F$7:$F$502" r="AG505" sId="1"/>
    <undo index="0" exp="area" dr="AG$7:AG$502" r="AG505" sId="1"/>
    <undo index="65535" exp="area" dr="$F$7:$F$502" r="AF505" sId="1"/>
    <undo index="0" exp="area" dr="AF$7:AF$502" r="AF505" sId="1"/>
    <undo index="65535" exp="area" dr="$F$7:$F$502" r="AE505" sId="1"/>
    <undo index="0" exp="area" dr="AE$7:AE$502" r="AE505" sId="1"/>
    <undo index="65535" exp="area" dr="$F$7:$F$502" r="AD505" sId="1"/>
    <undo index="0" exp="area" dr="AD$7:AD$502" r="AD505" sId="1"/>
    <undo index="65535" exp="area" dr="$F$7:$F$502" r="AC505" sId="1"/>
    <undo index="0" exp="area" dr="AC$7:AC$502" r="AC505" sId="1"/>
    <undo index="65535" exp="area" dr="$F$7:$F$502" r="AB505" sId="1"/>
    <undo index="0" exp="area" dr="AB$7:AB$502" r="AB505" sId="1"/>
    <undo index="65535" exp="area" dr="$F$7:$F$502" r="AA505" sId="1"/>
    <undo index="0" exp="area" dr="AA$7:AA$502" r="AA505" sId="1"/>
    <undo index="65535" exp="area" dr="$F$7:$F$502" r="Z505" sId="1"/>
    <undo index="0" exp="area" dr="Z$7:Z$502" r="Z505" sId="1"/>
    <undo index="65535" exp="area" dr="$F$7:$F$502" r="Y505" sId="1"/>
    <undo index="0" exp="area" dr="Y$7:Y$502" r="Y505" sId="1"/>
    <undo index="65535" exp="area" dr="$F$7:$F$502" r="X505" sId="1"/>
    <undo index="0" exp="area" dr="X$7:X$502" r="X505" sId="1"/>
    <undo index="65535" exp="area" dr="$F$7:$F$502" r="W505" sId="1"/>
    <undo index="0" exp="area" dr="W$7:W$502" r="W505" sId="1"/>
    <undo index="65535" exp="area" dr="$F$7:$F$502" r="V505" sId="1"/>
    <undo index="0" exp="area" dr="V$7:V$502" r="V505" sId="1"/>
    <undo index="65535" exp="area" dr="$F$7:$F$502" r="U505" sId="1"/>
    <undo index="0" exp="area" dr="U$7:U$502" r="U505" sId="1"/>
    <undo index="65535" exp="area" dr="$F$7:$F$502" r="T505" sId="1"/>
    <undo index="0" exp="area" dr="T$7:T$502" r="T505" sId="1"/>
    <undo index="65535" exp="area" dr="$F$7:$F$502" r="S505" sId="1"/>
    <undo index="0" exp="area" dr="S$7:S$502" r="S505" sId="1"/>
    <undo index="0" exp="area" dr="F$7:F$502" r="D505" sId="1"/>
    <undo index="65535" exp="area" dr="$F$7:$F$502" r="AK504" sId="1"/>
    <undo index="0" exp="area" dr="AK$7:AK$502" r="AK504" sId="1"/>
    <undo index="65535" exp="area" dr="$F$7:$F$502" r="AJ504" sId="1"/>
    <undo index="0" exp="area" dr="AJ$7:AJ$502" r="AJ504" sId="1"/>
    <undo index="65535" exp="area" dr="$F$7:$F$502" r="AG504" sId="1"/>
    <undo index="0" exp="area" dr="AG$7:AG$502" r="AG504" sId="1"/>
    <undo index="65535" exp="area" dr="$F$7:$F$502" r="AF504" sId="1"/>
    <undo index="0" exp="area" dr="AF$7:AF$502" r="AF504" sId="1"/>
    <undo index="65535" exp="area" dr="$F$7:$F$502" r="AE504" sId="1"/>
    <undo index="0" exp="area" dr="AE$7:AE$502" r="AE504" sId="1"/>
    <undo index="65535" exp="area" dr="$F$7:$F$502" r="AD504" sId="1"/>
    <undo index="0" exp="area" dr="AD$7:AD$502" r="AD504" sId="1"/>
    <undo index="65535" exp="area" dr="$F$7:$F$502" r="AC504" sId="1"/>
    <undo index="0" exp="area" dr="AC$7:AC$502" r="AC504" sId="1"/>
    <undo index="65535" exp="area" dr="$F$7:$F$502" r="AB504" sId="1"/>
    <undo index="0" exp="area" dr="AB$7:AB$502" r="AB504" sId="1"/>
    <undo index="65535" exp="area" dr="$F$7:$F$502" r="AA504" sId="1"/>
    <undo index="0" exp="area" dr="AA$7:AA$502" r="AA504" sId="1"/>
    <undo index="65535" exp="area" dr="$F$7:$F$502" r="Z504" sId="1"/>
    <undo index="0" exp="area" dr="Z$7:Z$502" r="Z504" sId="1"/>
    <undo index="65535" exp="area" dr="$F$7:$F$502" r="Y504" sId="1"/>
    <undo index="0" exp="area" dr="Y$7:Y$502" r="Y504" sId="1"/>
    <undo index="65535" exp="area" dr="$F$7:$F$502" r="X504" sId="1"/>
    <undo index="0" exp="area" dr="X$7:X$502" r="X504" sId="1"/>
    <undo index="65535" exp="area" dr="$F$7:$F$502" r="W504" sId="1"/>
    <undo index="0" exp="area" dr="W$7:W$502" r="W504" sId="1"/>
    <undo index="65535" exp="area" dr="$F$7:$F$502" r="V504" sId="1"/>
    <undo index="0" exp="area" dr="V$7:V$502" r="V504" sId="1"/>
    <undo index="65535" exp="area" dr="$F$7:$F$502" r="U504" sId="1"/>
    <undo index="0" exp="area" dr="U$7:U$502" r="U504" sId="1"/>
    <undo index="65535" exp="area" dr="$F$7:$F$502" r="T504" sId="1"/>
    <undo index="0" exp="area" dr="T$7:T$502" r="T504" sId="1"/>
    <undo index="65535" exp="area" dr="$F$7:$F$502" r="S504" sId="1"/>
    <undo index="0" exp="area" dr="S$7:S$502" r="S504" sId="1"/>
    <undo index="0" exp="area" dr="F$7:F$502" r="D504" sId="1"/>
    <undo index="65535" exp="area" dr="$F$7:$F$502" r="AK503" sId="1"/>
    <undo index="0" exp="area" dr="AK$7:AK$502" r="AK503" sId="1"/>
    <undo index="65535" exp="area" dr="$F$7:$F$502" r="AJ503" sId="1"/>
    <undo index="0" exp="area" dr="AJ$7:AJ$502" r="AJ503" sId="1"/>
    <undo index="65535" exp="area" dr="$F$7:$F$502" r="AG503" sId="1"/>
    <undo index="0" exp="area" dr="AG$7:AG$502" r="AG503" sId="1"/>
    <undo index="65535" exp="area" dr="$F$7:$F$502" r="AF503" sId="1"/>
    <undo index="0" exp="area" dr="AF$7:AF$502" r="AF503" sId="1"/>
    <undo index="65535" exp="area" dr="$F$7:$F$502" r="AE503" sId="1"/>
    <undo index="0" exp="area" dr="AE$7:AE$502" r="AE503" sId="1"/>
    <undo index="65535" exp="area" dr="$F$7:$F$502" r="AD503" sId="1"/>
    <undo index="0" exp="area" dr="AD$7:AD$502" r="AD503" sId="1"/>
    <undo index="65535" exp="area" dr="$F$7:$F$502" r="AC503" sId="1"/>
    <undo index="0" exp="area" dr="AC$7:AC$502" r="AC503" sId="1"/>
    <undo index="65535" exp="area" dr="$F$7:$F$502" r="AB503" sId="1"/>
    <undo index="0" exp="area" dr="AB$7:AB$502" r="AB503" sId="1"/>
    <undo index="65535" exp="area" dr="$F$7:$F$502" r="AA503" sId="1"/>
    <undo index="0" exp="area" dr="AA$7:AA$502" r="AA503" sId="1"/>
    <undo index="65535" exp="area" dr="$F$7:$F$502" r="Z503" sId="1"/>
    <undo index="0" exp="area" dr="Z$7:Z$502" r="Z503" sId="1"/>
    <undo index="65535" exp="area" dr="$F$7:$F$502" r="Y503" sId="1"/>
    <undo index="0" exp="area" dr="Y$7:Y$502" r="Y503" sId="1"/>
    <undo index="65535" exp="area" dr="$F$7:$F$502" r="X503" sId="1"/>
    <undo index="0" exp="area" dr="X$7:X$502" r="X503" sId="1"/>
    <undo index="65535" exp="area" dr="$F$7:$F$502" r="W503" sId="1"/>
    <undo index="0" exp="area" dr="W$7:W$502" r="W503" sId="1"/>
    <undo index="65535" exp="area" dr="$F$7:$F$502" r="V503" sId="1"/>
    <undo index="0" exp="area" dr="V$7:V$502" r="V503" sId="1"/>
    <undo index="65535" exp="area" dr="$F$7:$F$502" r="U503" sId="1"/>
    <undo index="0" exp="area" dr="U$7:U$502" r="U503" sId="1"/>
    <undo index="65535" exp="area" dr="$F$7:$F$502" r="T503" sId="1"/>
    <undo index="0" exp="area" dr="T$7:T$502" r="T503" sId="1"/>
    <undo index="65535" exp="area" dr="$F$7:$F$502" r="S503" sId="1"/>
    <undo index="0" exp="area" dr="S$7:S$502" r="S503" sId="1"/>
    <undo index="0" exp="area" dr="F$7:F$502" r="D503" sId="1"/>
    <undo index="65535" exp="area" ref3D="1" dr="$A$7:$AK$501" dn="Z_7C1B4D6D_D666_48DD_AB17_E00791B6F0B6_.wvu.FilterData" sId="1"/>
    <undo index="65535" exp="area" ref3D="1" dr="$A$7:$AK$501" dn="Z_340EDCDE_FAE5_4319_AEAD_F8264DCA5D27_.wvu.FilterData" sId="1"/>
    <undo index="65535" exp="area" ref3D="1" dr="$A$7:$AK$501" dn="Z_2A657C48_B241_4C19_9A74_98ECFC665F2A_.wvu.FilterData" sId="1"/>
    <undo index="65535" exp="area" ref3D="1" dr="$H$1:$N$1048576" dn="Z_65B035E3_87FA_46C5_996E_864F2C8D0EBC_.wvu.Cols" sId="1"/>
    <undo index="65535" exp="area" ref3D="1" dr="$A$7:$AK$501" dn="Z_B5BED753_4D8C_498E_8AE1_A08F7C0956F7_.wvu.FilterData" sId="1"/>
    <undo index="65535" exp="area" ref3D="1" dr="$A$7:$AK$501" dn="Z_D1981FDB_7063_4FCF_8DD5_A549E616E6FF_.wvu.FilterData" sId="1"/>
    <undo index="65535" exp="area" ref3D="1" dr="$A$7:$AK$501" dn="Z_E875C76B_3648_4C9A_A6B2_C3654837AAAC_.wvu.FilterData" sId="1"/>
    <undo index="65535" exp="area" ref3D="1" dr="$A$7:$AK$501" dn="Z_DAD27C7B_8B8A_46CB_98B5_59B1D1EFC319_.wvu.FilterData" sId="1"/>
    <rfmt sheetId="1" xfDxf="1" sqref="A7:XFD7" start="0" length="0"/>
    <rfmt sheetId="1" sqref="A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7" t="inlineStr">
        <is>
          <t>ALBA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T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U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V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W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X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Y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Z7"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A7"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B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AC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AD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AE7"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F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G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H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J7" start="0" length="0">
      <dxf>
        <font>
          <b/>
          <sz val="12"/>
          <color auto="1"/>
          <name val="Calibri"/>
          <family val="2"/>
          <charset val="238"/>
          <scheme val="minor"/>
        </font>
        <numFmt numFmtId="3" formatCode="#,##0"/>
        <alignment vertical="center" wrapText="1"/>
        <border outline="0">
          <left style="thin">
            <color indexed="64"/>
          </left>
          <right style="thin">
            <color indexed="64"/>
          </right>
          <bottom style="thin">
            <color indexed="64"/>
          </bottom>
        </border>
      </dxf>
    </rfmt>
    <rfmt sheetId="1" sqref="AK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rc>
  <rdn rId="0" localSheetId="1" customView="1" name="Z_FCCA78F5_8D30_45DE_9D44_7E25322461D6_.wvu.PrintArea" hidden="1" oldHidden="1">
    <formula>Sheet1!$A$1:$AK$527</formula>
  </rdn>
  <rdn rId="0" localSheetId="1" customView="1" name="Z_FCCA78F5_8D30_45DE_9D44_7E25322461D6_.wvu.FilterData" hidden="1" oldHidden="1">
    <formula>Sheet1!$A$1:$AK$501</formula>
  </rdn>
  <rcv guid="{FCCA78F5-8D30-45DE-9D44-7E25322461D6}"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009" sId="1" ref="A14:XFD14" action="deleteRow">
    <undo index="65535" exp="area" ref3D="1" dr="$H$1:$N$1048576" dn="Z_65B035E3_87FA_46C5_996E_864F2C8D0EBC_.wvu.Cols" sId="1"/>
    <rfmt sheetId="1" xfDxf="1" sqref="A14:XFD14" start="0" length="0"/>
    <rfmt sheetId="1" sqref="A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4" t="inlineStr">
        <is>
          <t>TOTAL ALBA</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4">
        <f>SUM(S7:S12)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14">
        <f>SUM(T7:T13)</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14">
        <f>SUM(U7:U13)</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14">
        <f>SUM(V7:V12)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14">
        <f>SUM(W7:W13)</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14">
        <f>SUM(X7:X13)</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14">
        <f>SUM(Y7:Y12)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14">
        <f>SUM(Z7:Z13)</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14">
        <f>SUM(AA7:AA13)</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14">
        <f>SUM(AB7:AB12)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14">
        <f>SUM(AC7:AC12)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14">
        <f>SUM(AD7:AD12)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14">
        <f>SUM(AE7:AE12)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14">
        <f>SUM(AF7:AF12)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14">
        <f>SUM(AG7:AG12)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H14">
        <f>SUM(AH7:AH12)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I14">
        <f>SUM(AI7:AI12)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14">
        <f>SUM(AJ7:AJ12)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14">
        <f>SUM(AK7:AK12)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rc>
  <rrc rId="6010" sId="1" ref="A14:XFD14" action="deleteRow">
    <undo index="65535" exp="area" ref3D="1" dr="$H$1:$N$1048576" dn="Z_65B035E3_87FA_46C5_996E_864F2C8D0EBC_.wvu.Cols" sId="1"/>
    <rfmt sheetId="1" xfDxf="1" sqref="A14:XFD14" start="0" length="0"/>
    <rfmt sheetId="1" sqref="A1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4" t="inlineStr">
        <is>
          <t>ARAD</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V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B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E1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F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1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11" sId="1" ref="A17:XFD17" action="deleteRow">
    <undo index="65535" exp="area" ref3D="1" dr="$H$1:$N$1048576" dn="Z_65B035E3_87FA_46C5_996E_864F2C8D0EBC_.wvu.Cols" sId="1"/>
    <rfmt sheetId="1" xfDxf="1" sqref="A17:XFD17" start="0" length="0"/>
    <rfmt sheetId="1" sqref="A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7" t="inlineStr">
        <is>
          <t>TOTAL ARAD</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7">
        <f>SUM(S14:S16)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17">
        <f>SUM(T14:T16)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17">
        <f>SUM(U14:U16)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17">
        <f>SUM(V14:V16)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17">
        <f>SUM(W14:W16)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17">
        <f>SUM(X14:X16)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17">
        <f>SUM(Y14:Y16)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17">
        <f>SUM(Z14:Z16)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17">
        <f>SUM(AA14:AA16)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17">
        <f>SUM(AB14:AB16)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17">
        <f>SUM(AC14:AC16)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17">
        <f>SUM(AD14:AD16)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17">
        <f>SUM(AE14:AE16)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17">
        <f>SUM(AF14:AF16)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17">
        <f>SUM(AG14:AG16)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AI17">
        <f>SUM(AI14:AI16)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17">
        <f>SUM(AJ14:AJ16)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17">
        <f>SUM(AK14:AK16)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rc>
  <rrc rId="6012" sId="1" ref="A17:XFD17" action="deleteRow">
    <undo index="65535" exp="area" ref3D="1" dr="$H$1:$N$1048576" dn="Z_65B035E3_87FA_46C5_996E_864F2C8D0EBC_.wvu.Cols" sId="1"/>
    <rfmt sheetId="1" xfDxf="1" sqref="A17:XFD17" start="0" length="0"/>
    <rfmt sheetId="1" sqref="A1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7"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7" t="inlineStr">
        <is>
          <t>ARGEȘ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V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B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E1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F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1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13" sId="1" ref="A22:XFD22" action="deleteRow">
    <undo index="65535" exp="area" ref3D="1" dr="$H$1:$N$1048576" dn="Z_65B035E3_87FA_46C5_996E_864F2C8D0EBC_.wvu.Cols" sId="1"/>
    <rfmt sheetId="1" xfDxf="1" sqref="A22:XFD22" start="0" length="0"/>
    <rfmt sheetId="1" sqref="A2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2"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G2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2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2">
        <f>S22/AE22*100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2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P2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Q2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R2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2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T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U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V2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W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Y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Z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B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C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D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E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2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2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14" sId="1" ref="A22:XFD22" action="deleteRow">
    <undo index="65535" exp="area" ref3D="1" dr="$H$1:$N$1048576" dn="Z_65B035E3_87FA_46C5_996E_864F2C8D0EBC_.wvu.Cols" sId="1"/>
    <rfmt sheetId="1" xfDxf="1" sqref="A22:XFD22" start="0" length="0"/>
    <rfmt sheetId="1" sqref="A2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2"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G2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2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2">
        <f>S22/AE22*100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2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P2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Q2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R2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2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T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U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V2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W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Y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Z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B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C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D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E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2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2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15" sId="1" ref="A22:XFD22" action="deleteRow">
    <undo index="65535" exp="area" dr="AK22:AK28" r="AK29" sId="1"/>
    <undo index="65535" exp="area" dr="AJ22:AJ28" r="AJ29" sId="1"/>
    <undo index="65535" exp="area" dr="AI22:AI28" r="AI29" sId="1"/>
    <undo index="65535" exp="area" dr="AG22:AG28" r="AG29" sId="1"/>
    <undo index="65535" exp="area" dr="AF22:AF28" r="AF29" sId="1"/>
    <undo index="65535" exp="area" dr="AE22:AE28" r="AE29" sId="1"/>
    <undo index="65535" exp="area" dr="AD22:AD28" r="AD29" sId="1"/>
    <undo index="65535" exp="area" dr="AC22:AC28" r="AC29" sId="1"/>
    <undo index="65535" exp="area" dr="AB22:AB28" r="AB29" sId="1"/>
    <undo index="65535" exp="area" dr="AA22:AA28" r="AA29" sId="1"/>
    <undo index="65535" exp="area" dr="Z22:Z28" r="Z29" sId="1"/>
    <undo index="65535" exp="area" dr="Y22:Y28" r="Y29" sId="1"/>
    <undo index="65535" exp="area" dr="X22:X28" r="X29" sId="1"/>
    <undo index="65535" exp="area" dr="W22:W28" r="W29" sId="1"/>
    <undo index="65535" exp="area" dr="V22:V28" r="V29" sId="1"/>
    <undo index="65535" exp="area" dr="U22:U28" r="U29" sId="1"/>
    <undo index="65535" exp="area" dr="T22:T28" r="T29" sId="1"/>
    <undo index="65535" exp="area" dr="S22:S28" r="S29" sId="1"/>
    <undo index="65535" exp="area" ref3D="1" dr="$H$1:$N$1048576" dn="Z_65B035E3_87FA_46C5_996E_864F2C8D0EBC_.wvu.Cols" sId="1"/>
    <rfmt sheetId="1" xfDxf="1" sqref="A22:XFD22" start="0" length="0"/>
    <rfmt sheetId="1" sqref="A2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C2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D2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E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cc rId="0" sId="1" dxf="1">
      <nc r="G22" t="inlineStr">
        <is>
          <t>TOTAL ARGES</t>
        </is>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H2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22">
        <f>SUM(S17:S20)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22">
        <f>SUM(T17:T21)</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22">
        <f>SUM(U17:U21)</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22">
        <f>SUM(V17:V20)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22">
        <f>SUM(W17:W21)</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22">
        <f>SUM(X17:X21)</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22">
        <f>SUM(Y17:Y20)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22">
        <f>SUM(Z17:Z21)</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22">
        <f>SUM(AA17:AA21)</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22">
        <f>SUM(AB17:AB21)</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22">
        <f>SUM(AC17:AC20)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22">
        <f>SUM(AD17:AD20)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22">
        <f>AE19+AE20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22">
        <f>SUM(AF17:AF20)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22">
        <f>SUM(AG17:AG21)</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2"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AI22">
        <f>SUM(AI17:AI20)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22">
        <f>SUM(AJ17:AJ20)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22">
        <f>SUM(AK17:AK20)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rc>
  <rrc rId="6016" sId="1" ref="A25:XFD25" action="deleteRow">
    <undo index="65535" exp="area" ref3D="1" dr="$H$1:$N$1048576" dn="Z_65B035E3_87FA_46C5_996E_864F2C8D0EBC_.wvu.Cols" sId="1"/>
    <rfmt sheetId="1" xfDxf="1" sqref="A25:XFD25" start="0" length="0"/>
    <rfmt sheetId="1" sqref="A2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2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G2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5">
        <f>S25/AE25*100</f>
      </nc>
      <ndxf>
        <font>
          <b/>
          <sz val="12"/>
          <color auto="1"/>
          <name val="Calibri"/>
          <family val="2"/>
          <charset val="238"/>
          <scheme val="minor"/>
        </font>
        <numFmt numFmtId="168" formatCode="0.0000000"/>
        <alignment horizontal="center" vertical="center" wrapText="1"/>
        <border outline="0">
          <left style="thin">
            <color indexed="64"/>
          </left>
          <right style="thin">
            <color indexed="64"/>
          </right>
          <top style="thin">
            <color indexed="64"/>
          </top>
          <bottom style="thin">
            <color indexed="64"/>
          </bottom>
        </border>
      </ndxf>
    </rcc>
    <rfmt sheetId="1" sqref="N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5">
        <f>T25+U25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25">
        <f>W25+X25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W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2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25">
        <f>Z25+AA25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25">
        <f>AC25+AD25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2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D2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E25">
        <f>S25+W25+Z25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F2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25">
        <f>AE25+AF25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5" start="0" length="0">
      <dxf>
        <font>
          <sz val="12"/>
          <color theme="1"/>
          <name val="Calibri"/>
          <family val="2"/>
          <charset val="238"/>
          <scheme val="minor"/>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17" sId="1" ref="A25:XFD25" action="deleteRow">
    <undo index="65535" exp="area" ref3D="1" dr="$H$1:$N$1048576" dn="Z_65B035E3_87FA_46C5_996E_864F2C8D0EBC_.wvu.Cols" sId="1"/>
    <rfmt sheetId="1" xfDxf="1" sqref="A25:XFD25" start="0" length="0"/>
    <rfmt sheetId="1" sqref="A2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2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G2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5">
        <f>S25/AE25*100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5">
        <f>T25+U25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25">
        <f>W25+X25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W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2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25">
        <f>Z25+AA25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25">
        <f>AC25+AD25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2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D2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E25">
        <f>S25+X25+AA25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F2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25">
        <f>AE25+AF25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5" start="0" length="0">
      <dxf>
        <font>
          <sz val="12"/>
          <color theme="1"/>
          <name val="Calibri"/>
          <family val="2"/>
          <charset val="238"/>
          <scheme val="minor"/>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18" sId="1" ref="A25:XFD25" action="deleteRow">
    <undo index="65535" exp="area" dr="AK22:AK25" r="AK26" sId="1"/>
    <undo index="65535" exp="area" dr="AJ22:AJ25" r="AJ26" sId="1"/>
    <undo index="65535" exp="area" dr="AI22:AI25" r="AI26" sId="1"/>
    <undo index="65535" exp="area" dr="AG22:AG25" r="AG26" sId="1"/>
    <undo index="65535" exp="area" dr="AF22:AF25" r="AF26" sId="1"/>
    <undo index="65535" exp="area" dr="AE22:AE25" r="AE26" sId="1"/>
    <undo index="65535" exp="area" dr="AD22:AD25" r="AD26" sId="1"/>
    <undo index="65535" exp="area" dr="AC22:AC25" r="AC26" sId="1"/>
    <undo index="65535" exp="area" dr="AB22:AB25" r="AB26" sId="1"/>
    <undo index="65535" exp="area" dr="AA22:AA25" r="AA26" sId="1"/>
    <undo index="65535" exp="area" dr="Z22:Z25" r="Z26" sId="1"/>
    <undo index="65535" exp="area" dr="Y22:Y25" r="Y26" sId="1"/>
    <undo index="65535" exp="area" dr="X22:X25" r="X26" sId="1"/>
    <undo index="65535" exp="area" dr="W22:W25" r="W26" sId="1"/>
    <undo index="65535" exp="area" dr="V22:V25" r="V26" sId="1"/>
    <undo index="65535" exp="area" dr="U22:U25" r="U26" sId="1"/>
    <undo index="65535" exp="area" dr="T22:T25" r="T26" sId="1"/>
    <undo index="65535" exp="area" dr="S22:S25" r="S26" sId="1"/>
    <undo index="65535" exp="area" ref3D="1" dr="$H$1:$N$1048576" dn="Z_65B035E3_87FA_46C5_996E_864F2C8D0EBC_.wvu.Cols" sId="1"/>
    <rfmt sheetId="1" xfDxf="1" sqref="A25:XFD25" start="0" length="0"/>
    <rfmt sheetId="1" sqref="A2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2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5">
        <f>S25/AE25*100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5">
        <f>T25+U25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2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25">
        <f>W25+X25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W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2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25">
        <f>Z25+AA25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2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2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25">
        <f>AC25+AD25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25" start="0" length="0">
      <dxf>
        <font>
          <sz val="12"/>
          <color auto="1"/>
          <name val="Calibri"/>
          <family val="2"/>
          <charset val="238"/>
          <scheme val="minor"/>
        </font>
        <numFmt numFmtId="166" formatCode="#,##0.00_ ;\-#,##0.00\ "/>
      </dxf>
    </rfmt>
    <rfmt sheetId="1" sqref="AD25" start="0" length="0">
      <dxf>
        <font>
          <sz val="12"/>
          <color auto="1"/>
          <name val="Calibri"/>
          <family val="2"/>
          <charset val="238"/>
          <scheme val="minor"/>
        </font>
        <numFmt numFmtId="166" formatCode="#,##0.00_ ;\-#,##0.00\ "/>
      </dxf>
    </rfmt>
    <rcc rId="0" sId="1" s="1" dxf="1">
      <nc r="AE25">
        <f>S25+X25+AA25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5">
        <f>AE25+AF25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19" sId="1" ref="A25:XFD25" action="deleteRow">
    <undo index="65535" exp="area" ref3D="1" dr="$H$1:$N$1048576" dn="Z_65B035E3_87FA_46C5_996E_864F2C8D0EBC_.wvu.Cols" sId="1"/>
    <rfmt sheetId="1" xfDxf="1" sqref="A25:XFD25" start="0" length="0"/>
    <rfmt sheetId="1" sqref="A2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C2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D2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E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G25" t="inlineStr">
        <is>
          <t>TOTAL BACĂU</t>
        </is>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H2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I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25">
        <f>SUM(S22:S24)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25">
        <f>SUM(T22:T24)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25">
        <f>SUM(U22:U24)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25">
        <f>SUM(V22:V24)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25">
        <f>SUM(W22:W24)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25">
        <f>SUM(X22:X24)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25">
        <f>SUM(Y22:Y24)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25">
        <f>SUM(Z22:Z24)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25">
        <f>SUM(AA22:AA24)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25">
        <f>SUM(AB22:AB24)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25">
        <f>SUM(AC22:AC24)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25">
        <f>SUM(AD22:AD24)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25">
        <f>SUM(AE22:AE24)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25">
        <f>SUM(AF22:AF24)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25">
        <f>SUM(AG22:AG24)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AI25">
        <f>SUM(AI22:AI24)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25">
        <f>SUM(AJ22:AJ24)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25">
        <f>SUM(AK22:AK24)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rc>
  <rrc rId="6020" sId="1" ref="A25:XFD25" action="deleteRow">
    <undo index="65535" exp="area" ref3D="1" dr="$H$1:$N$1048576" dn="Z_65B035E3_87FA_46C5_996E_864F2C8D0EBC_.wvu.Cols" sId="1"/>
    <rfmt sheetId="1" xfDxf="1" sqref="A25:XFD25" start="0" length="0"/>
    <rfmt sheetId="1" sqref="A25" start="0" length="0">
      <dxf>
        <font>
          <sz val="12"/>
          <color rgb="FFFF0000"/>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5" start="0" length="0">
      <dxf>
        <font>
          <sz val="12"/>
          <color rgb="FFFF0000"/>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25" start="0" length="0">
      <dxf>
        <font>
          <b/>
          <sz val="12"/>
          <color rgb="FFFF0000"/>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5" start="0" length="0">
      <dxf>
        <font>
          <sz val="12"/>
          <color rgb="FFFF0000"/>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E25" start="0" length="0">
      <dxf>
        <font>
          <sz val="12"/>
          <color rgb="FFFF0000"/>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25" start="0" length="0">
      <dxf>
        <font>
          <sz val="12"/>
          <color rgb="FFFF0000"/>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25" start="0" length="0">
      <dxf>
        <font>
          <sz val="12"/>
          <color rgb="FFFF0000"/>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5" start="0" length="0">
      <dxf>
        <font>
          <sz val="12"/>
          <color rgb="FFFF0000"/>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5" start="0" length="0">
      <dxf>
        <font>
          <sz val="12"/>
          <color rgb="FFFF0000"/>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sz val="12"/>
          <color rgb="FFFF0000"/>
          <name val="Calibri"/>
          <family val="2"/>
          <charset val="238"/>
          <scheme val="minor"/>
        </font>
        <alignment horizontal="left" vertical="center" wrapText="1"/>
      </dxf>
    </rfmt>
    <rfmt sheetId="1" sqref="K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5" t="inlineStr">
        <is>
          <t>BIHOR</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2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2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2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W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2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Y2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2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2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2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25" start="0" length="0">
      <dxf>
        <font>
          <sz val="12"/>
          <color auto="1"/>
          <name val="Calibri"/>
          <family val="2"/>
          <charset val="238"/>
          <scheme val="minor"/>
        </font>
        <numFmt numFmtId="166" formatCode="#,##0.00_ ;\-#,##0.00\ "/>
      </dxf>
    </rfmt>
    <rfmt sheetId="1" sqref="AD25" start="0" length="0">
      <dxf>
        <font>
          <sz val="12"/>
          <color auto="1"/>
          <name val="Calibri"/>
          <family val="2"/>
          <charset val="238"/>
          <scheme val="minor"/>
        </font>
        <numFmt numFmtId="166" formatCode="#,##0.00_ ;\-#,##0.00\ "/>
      </dxf>
    </rfmt>
    <rfmt sheetId="1" s="1" sqref="AE2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2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21" sId="1" ref="A27:XFD27" action="deleteRow">
    <undo index="65535" exp="area" dr="AK25:AK27" r="AK28" sId="1"/>
    <undo index="65535" exp="area" dr="AJ25:AJ27" r="AJ28" sId="1"/>
    <undo index="65535" exp="area" dr="AI25:AI27" r="AI28" sId="1"/>
    <undo index="65535" exp="area" dr="AG25:AG27" r="AG28" sId="1"/>
    <undo index="65535" exp="area" dr="AF25:AF27" r="AF28" sId="1"/>
    <undo index="65535" exp="area" dr="AE25:AE27" r="AE28" sId="1"/>
    <undo index="65535" exp="area" dr="AD25:AD27" r="AD28" sId="1"/>
    <undo index="65535" exp="area" dr="AC25:AC27" r="AC28" sId="1"/>
    <undo index="65535" exp="area" dr="AB25:AB27" r="AB28" sId="1"/>
    <undo index="65535" exp="area" dr="AA25:AA27" r="AA28" sId="1"/>
    <undo index="65535" exp="area" dr="Z25:Z27" r="Z28" sId="1"/>
    <undo index="65535" exp="area" dr="Y25:Y27" r="Y28" sId="1"/>
    <undo index="65535" exp="area" dr="X25:X27" r="X28" sId="1"/>
    <undo index="65535" exp="area" dr="W25:W27" r="W28" sId="1"/>
    <undo index="65535" exp="area" dr="V25:V27" r="V28" sId="1"/>
    <undo index="65535" exp="area" dr="U25:U27" r="U28" sId="1"/>
    <undo index="65535" exp="area" dr="T25:T27" r="T28" sId="1"/>
    <undo index="65535" exp="area" dr="S25:S27" r="S28" sId="1"/>
    <undo index="65535" exp="area" ref3D="1" dr="$H$1:$N$1048576" dn="Z_65B035E3_87FA_46C5_996E_864F2C8D0EBC_.wvu.Cols" sId="1"/>
    <rfmt sheetId="1" xfDxf="1" sqref="A27:XFD27" start="0" length="0"/>
    <rfmt sheetId="1" sqref="A2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7"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2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7">
        <f>S27/AE27*100</f>
      </nc>
      <ndxf>
        <font>
          <sz val="12"/>
          <color auto="1"/>
          <name val="Calibri"/>
          <family val="2"/>
          <charset val="238"/>
          <scheme val="minor"/>
        </font>
        <numFmt numFmtId="165" formatCode="0.000000000"/>
        <alignment horizontal="left" vertical="center" wrapText="1"/>
        <border outline="0">
          <left style="thin">
            <color indexed="64"/>
          </left>
          <right style="thin">
            <color indexed="64"/>
          </right>
          <top style="thin">
            <color indexed="64"/>
          </top>
          <bottom style="thin">
            <color indexed="64"/>
          </bottom>
        </border>
      </ndxf>
    </rcc>
    <rfmt sheetId="1" sqref="N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7">
        <f>T27+U27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2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2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27">
        <f>W27+X27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W2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2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27">
        <f>Z27+AA27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2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2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27">
        <f>AC27+AD27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27" start="0" length="0">
      <dxf>
        <font>
          <sz val="12"/>
          <color auto="1"/>
          <name val="Calibri"/>
          <family val="2"/>
          <charset val="238"/>
          <scheme val="minor"/>
        </font>
        <numFmt numFmtId="166" formatCode="#,##0.00_ ;\-#,##0.00\ "/>
      </dxf>
    </rfmt>
    <rfmt sheetId="1" sqref="AD27" start="0" length="0">
      <dxf>
        <font>
          <sz val="12"/>
          <color auto="1"/>
          <name val="Calibri"/>
          <family val="2"/>
          <charset val="238"/>
          <scheme val="minor"/>
        </font>
        <numFmt numFmtId="166" formatCode="#,##0.00_ ;\-#,##0.00\ "/>
      </dxf>
    </rfmt>
    <rcc rId="0" sId="1" s="1" dxf="1">
      <nc r="AE27">
        <f>S27+X27+AA27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7">
        <f>AE27+AF27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22" sId="1" ref="A27:XFD27" action="deleteRow">
    <undo index="65535" exp="area" ref3D="1" dr="$H$1:$N$1048576" dn="Z_65B035E3_87FA_46C5_996E_864F2C8D0EBC_.wvu.Cols" sId="1"/>
    <rfmt sheetId="1" xfDxf="1" sqref="A27:XFD27" start="0" length="0"/>
    <rfmt sheetId="1" sqref="A2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C2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D2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E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G27" t="inlineStr">
        <is>
          <t>TOTAL BIHOR</t>
        </is>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H2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I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27">
        <f>SUM(S25:S26)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27">
        <f>SUM(T25:T26)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27">
        <f>SUM(U25:U26)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27">
        <f>SUM(V25:V26)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27">
        <f>SUM(W25:W26)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27">
        <f>SUM(X25:X26)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27">
        <f>SUM(Y25:Y26)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27">
        <f>SUM(Z25:Z26)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27">
        <f>SUM(AA25:AA26)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27">
        <f>SUM(AB25:AB26)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27">
        <f>SUM(AC25:AC26)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27">
        <f>SUM(AD25:AD26)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27">
        <f>SUM(AE25:AE26)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27">
        <f>SUM(AF25:AF26)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27">
        <f>SUM(AG25:AG26)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AI27">
        <f>SUM(AI25:AI26)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27">
        <f>SUM(AJ25:AJ26)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27">
        <f>SUM(AK25:AK26)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rc>
  <rrc rId="6023" sId="1" ref="A27:XFD27" action="deleteRow">
    <undo index="65535" exp="area" ref3D="1" dr="$H$1:$N$1048576" dn="Z_65B035E3_87FA_46C5_996E_864F2C8D0EBC_.wvu.Cols" sId="1"/>
    <rfmt sheetId="1" xfDxf="1" sqref="A27:XFD27" start="0" length="0"/>
    <rfmt sheetId="1" sqref="A2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7"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2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7" t="inlineStr">
        <is>
          <t>BISTRIȚA NĂSĂUD</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2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V2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2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2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2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2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B2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27" start="0" length="0">
      <dxf>
        <font>
          <sz val="12"/>
          <color auto="1"/>
          <name val="Calibri"/>
          <family val="2"/>
          <charset val="238"/>
          <scheme val="minor"/>
        </font>
        <numFmt numFmtId="166" formatCode="#,##0.00_ ;\-#,##0.00\ "/>
      </dxf>
    </rfmt>
    <rfmt sheetId="1" sqref="AD27" start="0" length="0">
      <dxf>
        <font>
          <sz val="12"/>
          <color auto="1"/>
          <name val="Calibri"/>
          <family val="2"/>
          <charset val="238"/>
          <scheme val="minor"/>
        </font>
        <numFmt numFmtId="166" formatCode="#,##0.00_ ;\-#,##0.00\ "/>
      </dxf>
    </rfmt>
    <rfmt sheetId="1" sqref="AE2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F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2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24" sId="1" ref="A28:XFD28" action="deleteRow">
    <undo index="65535" exp="area" ref3D="1" dr="$H$1:$N$1048576" dn="Z_65B035E3_87FA_46C5_996E_864F2C8D0EBC_.wvu.Cols" sId="1"/>
    <rfmt sheetId="1" xfDxf="1" sqref="A28:XFD28" start="0" length="0"/>
    <rcc rId="0" sId="1" dxf="1">
      <nc r="A28">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8"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8">
        <f>S28/AE28*100</f>
      </nc>
      <ndxf>
        <font>
          <sz val="12"/>
          <color auto="1"/>
          <name val="Calibri"/>
          <family val="2"/>
          <charset val="238"/>
          <scheme val="minor"/>
        </font>
        <numFmt numFmtId="165" formatCode="0.000000000"/>
        <alignment horizontal="left" vertical="center" wrapText="1"/>
        <border outline="0">
          <left style="thin">
            <color indexed="64"/>
          </left>
          <right style="thin">
            <color indexed="64"/>
          </right>
          <top style="thin">
            <color indexed="64"/>
          </top>
          <bottom style="thin">
            <color indexed="64"/>
          </bottom>
        </border>
      </ndxf>
    </rcc>
    <rfmt sheetId="1" sqref="N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8">
        <f>T28+U28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2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28">
        <f>W28+X28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rder>
      </ndxf>
    </rcc>
    <rfmt sheetId="1" sqref="W2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28">
        <f>Z28+AA28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2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2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umFmtId="4">
      <nc r="AB28">
        <v>0</v>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28" start="0" length="0">
      <dxf>
        <font>
          <sz val="12"/>
          <color auto="1"/>
          <name val="Calibri"/>
          <family val="2"/>
          <charset val="238"/>
          <scheme val="minor"/>
        </font>
        <numFmt numFmtId="166" formatCode="#,##0.00_ ;\-#,##0.00\ "/>
      </dxf>
    </rfmt>
    <rfmt sheetId="1" sqref="AD28" start="0" length="0">
      <dxf>
        <font>
          <sz val="12"/>
          <color auto="1"/>
          <name val="Calibri"/>
          <family val="2"/>
          <charset val="238"/>
          <scheme val="minor"/>
        </font>
        <numFmt numFmtId="166" formatCode="#,##0.00_ ;\-#,##0.00\ "/>
      </dxf>
    </rfmt>
    <rcc rId="0" sId="1" s="1" dxf="1">
      <nc r="AE28">
        <f>S28+V28+Y28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8">
        <f>AE28+AF28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25" sId="1" ref="A28:XFD28" action="deleteRow">
    <undo index="65535" exp="area" dr="AK27:AK28" r="AK29" sId="1"/>
    <undo index="65535" exp="area" dr="AJ27:AJ28" r="AJ29" sId="1"/>
    <undo index="65535" exp="area" dr="AI27:AI28" r="AI29" sId="1"/>
    <undo index="65535" exp="area" dr="AG27:AG28" r="AG29" sId="1"/>
    <undo index="65535" exp="area" dr="AF27:AF28" r="AF29" sId="1"/>
    <undo index="65535" exp="area" dr="AE27:AE28" r="AE29" sId="1"/>
    <undo index="65535" exp="area" dr="AD27:AD28" r="AD29" sId="1"/>
    <undo index="65535" exp="area" dr="AC27:AC28" r="AC29" sId="1"/>
    <undo index="65535" exp="area" dr="AB27:AB28" r="AB29" sId="1"/>
    <undo index="65535" exp="area" dr="AA27:AA28" r="AA29" sId="1"/>
    <undo index="65535" exp="area" dr="Z27:Z28" r="Z29" sId="1"/>
    <undo index="65535" exp="area" dr="Y27:Y28" r="Y29" sId="1"/>
    <undo index="65535" exp="area" dr="X27:X28" r="X29" sId="1"/>
    <undo index="65535" exp="area" dr="W27:W28" r="W29" sId="1"/>
    <undo index="65535" exp="area" dr="V27:V28" r="V29" sId="1"/>
    <undo index="65535" exp="area" dr="U27:U28" r="U29" sId="1"/>
    <undo index="65535" exp="area" dr="T27:T28" r="T29" sId="1"/>
    <undo index="65535" exp="area" dr="S27:S28" r="S29" sId="1"/>
    <undo index="65535" exp="area" ref3D="1" dr="$H$1:$N$1048576" dn="Z_65B035E3_87FA_46C5_996E_864F2C8D0EBC_.wvu.Cols" sId="1"/>
    <rfmt sheetId="1" xfDxf="1" sqref="A28:XFD28" start="0" length="0"/>
    <rfmt sheetId="1" sqref="A2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8"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C28"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D28"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E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8">
        <f>S28/AE28*100</f>
      </nc>
      <ndxf>
        <font>
          <sz val="12"/>
          <color auto="1"/>
          <name val="Calibri"/>
          <family val="2"/>
          <charset val="238"/>
          <scheme val="minor"/>
        </font>
        <numFmt numFmtId="165" formatCode="0.000000000"/>
        <alignment horizontal="left" vertical="center" wrapText="1"/>
        <border outline="0">
          <left style="thin">
            <color indexed="64"/>
          </left>
          <right style="thin">
            <color indexed="64"/>
          </right>
          <top style="thin">
            <color indexed="64"/>
          </top>
          <bottom style="thin">
            <color indexed="64"/>
          </bottom>
        </border>
      </ndxf>
    </rcc>
    <rfmt sheetId="1" sqref="N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8">
        <f>T28+U28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2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28">
        <f>W28+X28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rder>
      </ndxf>
    </rcc>
    <rfmt sheetId="1" sqref="W2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28">
        <f>Z28+AA28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2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2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umFmtId="4">
      <nc r="AB28">
        <v>0</v>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28" start="0" length="0">
      <dxf>
        <font>
          <sz val="12"/>
          <color auto="1"/>
          <name val="Calibri"/>
          <family val="2"/>
          <charset val="238"/>
          <scheme val="minor"/>
        </font>
        <numFmt numFmtId="166" formatCode="#,##0.00_ ;\-#,##0.00\ "/>
      </dxf>
    </rfmt>
    <rfmt sheetId="1" sqref="AD28" start="0" length="0">
      <dxf>
        <font>
          <sz val="12"/>
          <color auto="1"/>
          <name val="Calibri"/>
          <family val="2"/>
          <charset val="238"/>
          <scheme val="minor"/>
        </font>
        <numFmt numFmtId="166" formatCode="#,##0.00_ ;\-#,##0.00\ "/>
      </dxf>
    </rfmt>
    <rcc rId="0" sId="1" s="1" dxf="1">
      <nc r="AE28">
        <f>S28+V28+Y28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8">
        <f>AE28+AF28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26" sId="1" ref="A28:XFD28" action="deleteRow">
    <undo index="65535" exp="area" ref3D="1" dr="$H$1:$N$1048576" dn="Z_65B035E3_87FA_46C5_996E_864F2C8D0EBC_.wvu.Cols" sId="1"/>
    <rfmt sheetId="1" xfDxf="1" sqref="A28:XFD28" start="0" length="0"/>
    <rfmt sheetId="1" sqref="A2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8"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C28"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D28"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E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28" t="inlineStr">
        <is>
          <t>TOTAL BISTRIȚA NĂSĂUD</t>
        </is>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H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28">
        <f>SUM(S27:S27)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28">
        <f>SUM(T27:T27)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28">
        <f>SUM(U27:U27)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28">
        <f>SUM(V27:V27)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28">
        <f>SUM(W27:W27)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28">
        <f>SUM(X27:X27)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28">
        <f>SUM(Y27:Y27)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28">
        <f>SUM(Z27:Z27)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28">
        <f>SUM(AA27:AA27)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28">
        <f>SUM(AB27:AB27)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28">
        <f>SUM(AC27:AC27)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28">
        <f>SUM(AD27:AD27)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28">
        <f>SUM(AE27:AE27)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28">
        <f>SUM(AF27:AF27)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28">
        <f>SUM(AG27:AG27)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2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28">
        <f>SUM(AI27:AI27)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28">
        <f>SUM(AJ27:AJ27)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28">
        <f>SUM(AK27:AK27)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027" sId="1" ref="A30:XFD30" action="deleteRow">
    <undo index="65535" exp="area" ref3D="1" dr="$H$1:$N$1048576" dn="Z_65B035E3_87FA_46C5_996E_864F2C8D0EBC_.wvu.Cols" sId="1"/>
    <rfmt sheetId="1" xfDxf="1" sqref="A30:XFD30" start="0" length="0"/>
    <rfmt sheetId="1" sqref="A3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0"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0">
        <f>S30/AE30*100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0">
        <f>T30+U30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30">
        <f>W30+X30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rder>
      </ndxf>
    </rcc>
    <rfmt sheetId="1" sqref="W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30">
        <f>Z30+AA30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3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3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umFmtId="4">
      <nc r="AB30">
        <v>0</v>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30">
        <f>S30+V30+Y30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0">
        <f>AE30+AF30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28" sId="1" ref="A30:XFD30" action="deleteRow">
    <undo index="65535" exp="area" dr="AK28:AK30" r="AK31" sId="1"/>
    <undo index="65535" exp="area" dr="AJ28:AJ30" r="AJ31" sId="1"/>
    <undo index="65535" exp="area" dr="AI28:AI30" r="AI31" sId="1"/>
    <undo index="65535" exp="area" dr="AG28:AG30" r="AG31" sId="1"/>
    <undo index="65535" exp="area" dr="AF28:AF30" r="AF31" sId="1"/>
    <undo index="65535" exp="area" dr="AE28:AE30" r="AE31" sId="1"/>
    <undo index="65535" exp="area" dr="AD28:AD30" r="AD31" sId="1"/>
    <undo index="65535" exp="area" dr="AC28:AC30" r="AC31" sId="1"/>
    <undo index="65535" exp="area" dr="AB28:AB30" r="AB31" sId="1"/>
    <undo index="65535" exp="area" dr="AA28:AA30" r="AA31" sId="1"/>
    <undo index="65535" exp="area" dr="Z28:Z30" r="Z31" sId="1"/>
    <undo index="65535" exp="area" dr="Y28:Y30" r="Y31" sId="1"/>
    <undo index="65535" exp="area" dr="X28:X30" r="X31" sId="1"/>
    <undo index="65535" exp="area" dr="W28:W30" r="W31" sId="1"/>
    <undo index="65535" exp="area" dr="V28:V30" r="V31" sId="1"/>
    <undo index="65535" exp="area" dr="U28:U30" r="U31" sId="1"/>
    <undo index="65535" exp="area" dr="T28:T30" r="T31" sId="1"/>
    <undo index="65535" exp="area" dr="S29:S30" r="S31" sId="1"/>
    <undo index="65535" exp="area" ref3D="1" dr="$H$1:$N$1048576" dn="Z_65B035E3_87FA_46C5_996E_864F2C8D0EBC_.wvu.Cols" sId="1"/>
    <rfmt sheetId="1" xfDxf="1" sqref="A30:XFD30" start="0" length="0"/>
    <rfmt sheetId="1" sqref="A3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0"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0">
        <f>S30/AE30*100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0">
        <f>T30+U30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30">
        <f>W30+X30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rder>
      </ndxf>
    </rcc>
    <rfmt sheetId="1" sqref="W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30">
        <f>Z30+AA30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3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3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umFmtId="4">
      <nc r="AB30">
        <v>0</v>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30">
        <f>S30+V30+Y30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0">
        <f>AE30+AF30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29" sId="1" ref="A30:XFD30" action="deleteRow">
    <undo index="65535" exp="area" ref3D="1" dr="$H$1:$N$1048576" dn="Z_65B035E3_87FA_46C5_996E_864F2C8D0EBC_.wvu.Cols" sId="1"/>
    <rfmt sheetId="1" xfDxf="1" sqref="A30:XFD30" start="0" length="0"/>
    <rfmt sheetId="1" sqref="A3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0"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C30"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D30"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E30"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F30"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G30" t="inlineStr">
        <is>
          <t>TOTAL BOTOȘANI</t>
        </is>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H30"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I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0"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K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30">
        <f>SUM(S29:S29)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30">
        <f>SUM(T28:T29)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30">
        <f>SUM(U28:U29)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30">
        <f>SUM(V28:V29)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30">
        <f>SUM(W28:W29)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30">
        <f>SUM(X28:X29)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30">
        <f>SUM(Y28:Y29)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30">
        <f>SUM(Z28:Z29)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30">
        <f>SUM(AA28:AA29)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30">
        <f>SUM(AB28:AB29)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30">
        <f>SUM(AC28:AC29)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30">
        <f>SUM(AD28:AD29)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30">
        <f>SUM(AE28:AE29)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30">
        <f>SUM(AF28:AF29)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30">
        <f>SUM(AG28:AG29)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0"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AI30">
        <f>SUM(AI28:AI29)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30">
        <f>SUM(AJ28:AJ29)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30">
        <f>SUM(AK28:AK29)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rc>
  <rrc rId="6030" sId="1" ref="A30:XFD30" action="deleteRow">
    <undo index="65535" exp="area" ref3D="1" dr="$H$1:$N$1048576" dn="Z_65B035E3_87FA_46C5_996E_864F2C8D0EBC_.wvu.Cols" sId="1"/>
    <rfmt sheetId="1" xfDxf="1" sqref="A30:XFD30" start="0" length="0"/>
    <rfmt sheetId="1" sqref="A3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0"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30" t="inlineStr">
        <is>
          <t>BRĂILA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V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3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B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E3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F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3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31" sId="1" ref="A34:XFD34" action="deleteRow">
    <undo index="65535" exp="area" ref3D="1" dr="$H$1:$N$1048576" dn="Z_65B035E3_87FA_46C5_996E_864F2C8D0EBC_.wvu.Cols" sId="1"/>
    <rfmt sheetId="1" xfDxf="1" sqref="A34:XFD34" start="0" length="0"/>
    <rfmt sheetId="1" sqref="A3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3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3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G34" start="0" length="0">
      <dxf>
        <font>
          <sz val="10"/>
          <color theme="1"/>
          <name val="Calibri"/>
          <family val="2"/>
          <charset val="1"/>
          <scheme val="minor"/>
        </font>
        <alignment vertical="center" wrapText="1"/>
        <border outline="0">
          <left style="thin">
            <color indexed="64"/>
          </left>
          <right style="thin">
            <color indexed="64"/>
          </right>
          <top style="thin">
            <color indexed="64"/>
          </top>
          <bottom style="thin">
            <color indexed="64"/>
          </bottom>
        </border>
      </dxf>
    </rfmt>
    <rfmt sheetId="1" sqref="H34" start="0" length="0">
      <dxf>
        <font>
          <sz val="10"/>
          <color theme="1"/>
          <name val="Calibri"/>
          <family val="2"/>
          <charset val="1"/>
          <scheme val="minor"/>
        </font>
        <alignment vertical="center" wrapText="1"/>
        <border outline="0">
          <left style="thin">
            <color indexed="64"/>
          </left>
          <right style="thin">
            <color indexed="64"/>
          </right>
          <top style="thin">
            <color indexed="64"/>
          </top>
          <bottom style="thin">
            <color indexed="64"/>
          </bottom>
        </border>
      </dxf>
    </rfmt>
    <rfmt sheetId="1" sqref="I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4"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4">
        <f>S34/AE34*100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4"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3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T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U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V3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W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Y3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Z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A3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3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3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3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dxf="1" numFmtId="4">
      <nc r="AJ34">
        <v>0</v>
      </nc>
      <n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ndxf>
    </rcc>
    <rcc rId="0" sId="1" dxf="1" numFmtId="4">
      <nc r="AK34">
        <v>0</v>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032" sId="1" ref="A34:XFD34" action="deleteRow">
    <undo index="65535" exp="area" ref3D="1" dr="$H$1:$N$1048576" dn="Z_65B035E3_87FA_46C5_996E_864F2C8D0EBC_.wvu.Cols" sId="1"/>
    <rfmt sheetId="1" xfDxf="1" sqref="A34:XFD34" start="0" length="0"/>
    <rfmt sheetId="1" sqref="A3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34" t="inlineStr">
        <is>
          <t>TOTAL BRĂILA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34">
        <f>SUM(S30:S32)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34">
        <f>SUM(T30:T33)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34">
        <f>SUM(U30:U33)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34">
        <f>SUM(V30:V32)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34">
        <f>SUM(W30:W33)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34">
        <f>SUM(X30:X33)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34">
        <f>SUM(Y30:Y32)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34">
        <f>SUM(Z30:Z33)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34">
        <f>SUM(AA30:AA32)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34">
        <f>SUM(AB30:AB32)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34">
        <f>SUM(AC30:AC32)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34">
        <f>SUM(AD30:AD32)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34">
        <f>SUM(AE30:AE32)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34">
        <f>SUM(AF30:AF32)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34">
        <f>SUM(AG30:AG32)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3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34">
        <f>SUM(AI30:AI32)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34">
        <f>SUM(AJ30:AJ32)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34">
        <f>SUM(AK30:AK32)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033" sId="1" ref="A34:XFD34" action="deleteRow">
    <undo index="65535" exp="area" ref3D="1" dr="$H$1:$N$1048576" dn="Z_65B035E3_87FA_46C5_996E_864F2C8D0EBC_.wvu.Cols" sId="1"/>
    <rfmt sheetId="1" xfDxf="1" sqref="A34:XFD34" start="0" length="0"/>
    <rfmt sheetId="1" sqref="A3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3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34" t="inlineStr">
        <is>
          <t>BRAȘOV</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3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3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3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V3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3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3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3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3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B3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3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3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E3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F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3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34" sId="1" ref="A40:XFD40" action="deleteRow">
    <undo index="65535" exp="area" ref3D="1" dr="$H$1:$N$1048576" dn="Z_65B035E3_87FA_46C5_996E_864F2C8D0EBC_.wvu.Cols" sId="1"/>
    <rfmt sheetId="1" xfDxf="1" sqref="A40:XFD40" start="0" length="0">
      <dxf/>
    </rfmt>
    <rfmt sheetId="1" sqref="A40"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sz val="12"/>
          <color auto="1"/>
        </font>
        <alignment horizontal="center" vertical="center" wrapText="1"/>
        <border outline="0">
          <right style="thin">
            <color indexed="64"/>
          </right>
          <top style="thin">
            <color indexed="64"/>
          </top>
          <bottom style="thin">
            <color indexed="64"/>
          </bottom>
        </border>
      </dxf>
    </rfmt>
    <rfmt sheetId="1" sqref="C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F40" start="0" length="0">
      <dxf>
        <font>
          <sz val="12"/>
        </font>
        <alignment vertical="center" wrapText="1"/>
        <border outline="0">
          <left style="thin">
            <color indexed="64"/>
          </left>
          <right style="thin">
            <color indexed="64"/>
          </right>
          <top style="thin">
            <color indexed="64"/>
          </top>
          <bottom style="thin">
            <color indexed="64"/>
          </bottom>
        </border>
      </dxf>
    </rfmt>
    <rfmt sheetId="1" sqref="G4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40"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40">
        <f>S40/AE40*100</f>
      </nc>
      <n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40">
        <f>T40+U40</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U4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V40">
        <f>W40+X40</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X4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Y40">
        <f>Z40+AA40</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40">
        <f>AC40+AD40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40"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cc rId="0" sId="1" s="1" dxf="1">
      <nc r="AE40">
        <f>S40+V40+Y40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40"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0">
        <f>AE40+AF40+AC40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40"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sz val="12"/>
          <name val="Trebuchet MS"/>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35" sId="1" ref="A40:XFD40" action="deleteRow">
    <undo index="65535" exp="area" ref3D="1" dr="$H$1:$N$1048576" dn="Z_65B035E3_87FA_46C5_996E_864F2C8D0EBC_.wvu.Cols" sId="1"/>
    <rfmt sheetId="1" xfDxf="1" sqref="A40:XFD40" start="0" length="0">
      <dxf/>
    </rfmt>
    <rfmt sheetId="1" sqref="A40"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sz val="12"/>
          <color auto="1"/>
        </font>
        <alignment horizontal="center" vertical="center" wrapText="1"/>
        <border outline="0">
          <right style="thin">
            <color indexed="64"/>
          </right>
          <top style="thin">
            <color indexed="64"/>
          </top>
          <bottom style="thin">
            <color indexed="64"/>
          </bottom>
        </border>
      </dxf>
    </rfmt>
    <rfmt sheetId="1" sqref="C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F40" start="0" length="0">
      <dxf>
        <font>
          <sz val="12"/>
        </font>
        <alignment vertical="center" wrapText="1"/>
        <border outline="0">
          <left style="thin">
            <color indexed="64"/>
          </left>
          <right style="thin">
            <color indexed="64"/>
          </right>
          <top style="thin">
            <color indexed="64"/>
          </top>
          <bottom style="thin">
            <color indexed="64"/>
          </bottom>
        </border>
      </dxf>
    </rfmt>
    <rfmt sheetId="1" sqref="G4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40"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40">
        <f>S40/AE40*100</f>
      </nc>
      <n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40">
        <f>T40+U40</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U4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V40">
        <f>W40+X40</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X4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Y40">
        <f>Z40+AA40</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40">
        <f>AC40+AD40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40"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cc rId="0" sId="1" s="1" dxf="1">
      <nc r="AE40">
        <f>S40+V40+Y40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40"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0">
        <f>AE40+AF40+AC40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40"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sz val="12"/>
          <name val="Trebuchet MS"/>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36" sId="1" ref="A40:XFD40" action="deleteRow">
    <undo index="65535" exp="area" ref3D="1" dr="$H$1:$N$1048576" dn="Z_65B035E3_87FA_46C5_996E_864F2C8D0EBC_.wvu.Cols" sId="1"/>
    <rfmt sheetId="1" xfDxf="1" sqref="A40:XFD40" start="0" length="0">
      <dxf/>
    </rfmt>
    <rfmt sheetId="1" sqref="A40"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sz val="12"/>
          <color auto="1"/>
        </font>
        <alignment horizontal="center" vertical="center" wrapText="1"/>
        <border outline="0">
          <right style="thin">
            <color indexed="64"/>
          </right>
          <top style="thin">
            <color indexed="64"/>
          </top>
          <bottom style="thin">
            <color indexed="64"/>
          </bottom>
        </border>
      </dxf>
    </rfmt>
    <rfmt sheetId="1" sqref="C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F40" start="0" length="0">
      <dxf>
        <font>
          <sz val="12"/>
        </font>
        <alignment vertical="center" wrapText="1"/>
        <border outline="0">
          <left style="thin">
            <color indexed="64"/>
          </left>
          <right style="thin">
            <color indexed="64"/>
          </right>
          <top style="thin">
            <color indexed="64"/>
          </top>
          <bottom style="thin">
            <color indexed="64"/>
          </bottom>
        </border>
      </dxf>
    </rfmt>
    <rfmt sheetId="1" sqref="G4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40"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40">
        <f>S40/AE40*100</f>
      </nc>
      <n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40">
        <f>T40+U40</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U4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V40">
        <f>W40+X40</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X4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Y40">
        <f>Z40+AA40</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40">
        <f>AC40+AD40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40"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cc rId="0" sId="1" s="1" dxf="1">
      <nc r="AE40">
        <f>S40+V40+Y40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40"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0">
        <f>AE40+AF40+AC40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40"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sz val="12"/>
          <name val="Trebuchet MS"/>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4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37" sId="1" ref="A40:XFD40" action="deleteRow">
    <undo index="65535" exp="area" ref3D="1" dr="$H$1:$N$1048576" dn="Z_65B035E3_87FA_46C5_996E_864F2C8D0EBC_.wvu.Cols" sId="1"/>
    <rfmt sheetId="1" xfDxf="1" sqref="A40:XFD40" start="0" length="0"/>
    <rfmt sheetId="1" sqref="A4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C4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G40" t="inlineStr">
        <is>
          <t>TOTAL BRAȘOV</t>
        </is>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40">
        <f>SUM(S34:S37)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40">
        <f>SUM(T34:T37)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40">
        <f>SUM(U34:U39)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40">
        <f>SUM(V34:V37)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40">
        <f>SUM(W34:W37)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40">
        <f>SUM(X34:X38)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40">
        <f>SUM(Y34:Y37)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40">
        <f>SUM(Z34:Z39)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40">
        <f>SUM(AA34:AA39)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40">
        <f>SUM(AB34:AB37)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40">
        <f>SUM(AC34:AC39)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40">
        <f>SUM(AD34:AD39)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40">
        <f>SUM(AE34:AE37)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40">
        <f>SUM(AF34:AF38)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40">
        <f>SUM(AG34:AG38)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4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40">
        <f>SUM(AI34:AI37)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40">
        <f>SUM(AJ34:AJ38)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38" sId="1" ref="A40:XFD40" action="deleteRow">
    <undo index="65535" exp="area" ref3D="1" dr="$H$1:$N$1048576" dn="Z_65B035E3_87FA_46C5_996E_864F2C8D0EBC_.wvu.Cols" sId="1"/>
    <rfmt sheetId="1" xfDxf="1" sqref="A40:XFD40" start="0" length="0"/>
    <rfmt sheetId="1" sqref="A4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0" t="inlineStr">
        <is>
          <t>BUCUREȘTI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4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4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E4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4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39" sId="1" ref="A47:XFD47" action="deleteRow">
    <undo index="65535" exp="area" dr="AK40:AK47" r="AK48" sId="1"/>
    <undo index="65535" exp="area" dr="AJ40:AJ47" r="AJ48" sId="1"/>
    <undo index="65535" exp="area" dr="AI40:AI47" r="AI48" sId="1"/>
    <undo index="65535" exp="area" dr="AG40:AG47" r="AG48" sId="1"/>
    <undo index="65535" exp="area" dr="AF40:AF47" r="AF48" sId="1"/>
    <undo index="65535" exp="area" dr="AE40:AE47" r="AE48" sId="1"/>
    <undo index="65535" exp="area" dr="AD40:AD47" r="AD48" sId="1"/>
    <undo index="65535" exp="area" dr="AC40:AC47" r="AC48" sId="1"/>
    <undo index="65535" exp="area" dr="AB40:AB47" r="AB48" sId="1"/>
    <undo index="65535" exp="area" dr="AA40:AA47" r="AA48" sId="1"/>
    <undo index="65535" exp="area" dr="Z40:Z47" r="Z48" sId="1"/>
    <undo index="65535" exp="area" dr="Y40:Y47" r="Y48" sId="1"/>
    <undo index="65535" exp="area" dr="X40:X47" r="X48" sId="1"/>
    <undo index="65535" exp="area" dr="W40:W47" r="W48" sId="1"/>
    <undo index="65535" exp="area" dr="V40:V47" r="V48" sId="1"/>
    <undo index="65535" exp="area" dr="U40:U47" r="U48" sId="1"/>
    <undo index="65535" exp="area" dr="T40:T47" r="T48" sId="1"/>
    <undo index="65535" exp="area" dr="S40:S47" r="S48" sId="1"/>
    <undo index="65535" exp="area" ref3D="1" dr="$H$1:$N$1048576" dn="Z_65B035E3_87FA_46C5_996E_864F2C8D0EBC_.wvu.Cols" sId="1"/>
    <rfmt sheetId="1" xfDxf="1" sqref="A47:XFD47" start="0" length="0"/>
    <rfmt sheetId="1" sqref="A4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7"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4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4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47">
        <f>S47/AE47*100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7">
        <f>T47+U47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4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47">
        <f>W47+X47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4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47">
        <f>Z47+AA47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4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47">
        <f>AC47+AD47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4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4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47">
        <f>S47+V47+Y47+AB47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7">
        <f>AE47+AF47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4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40" sId="1" ref="A47:XFD47" action="deleteRow">
    <undo index="65535" exp="area" ref3D="1" dr="$H$1:$N$1048576" dn="Z_65B035E3_87FA_46C5_996E_864F2C8D0EBC_.wvu.Cols" sId="1"/>
    <rfmt sheetId="1" xfDxf="1" sqref="A47:XFD47" start="0" length="0"/>
    <rfmt sheetId="1" sqref="A4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47" t="inlineStr">
        <is>
          <r>
            <t xml:space="preserve">TOTAL </t>
          </r>
          <r>
            <rPr>
              <sz val="12"/>
              <rFont val="Calibri"/>
              <family val="2"/>
            </rPr>
            <t>BUCUREȘTI</t>
          </r>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47">
        <f>SUM(S40:S46)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47">
        <f>SUM(T40:T46)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47">
        <f>SUM(U40:U46)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47">
        <f>SUM(V40:V46)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47">
        <f>SUM(W40:W46)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47">
        <f>SUM(X40:X46)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47">
        <f>SUM(Y40:Y46)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47">
        <f>SUM(Z40:Z46)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47">
        <f>SUM(AA40:AA46)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47">
        <f>SUM(AB40:AB46)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47">
        <f>SUM(AC40:AC46)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47">
        <f>SUM(AD40:AD46)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47">
        <f>SUM(AE40:AE46)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47">
        <f>SUM(AF40:AF46)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47">
        <f>SUM(AG40:AG46)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4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47">
        <f>SUM(AI40:AI46)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47">
        <f>SUM(AJ40:AJ46)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47">
        <f>SUM(AK40:AK46)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041" sId="1" ref="A47:XFD47" action="deleteRow">
    <undo index="65535" exp="area" ref3D="1" dr="$H$1:$N$1048576" dn="Z_65B035E3_87FA_46C5_996E_864F2C8D0EBC_.wvu.Cols" sId="1"/>
    <rfmt sheetId="1" xfDxf="1" sqref="A47:XFD47" start="0" length="0"/>
    <rcc rId="0" sId="1" dxf="1">
      <nc r="A47">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7"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4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4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7" t="inlineStr">
        <is>
          <t>BUZĂU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4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4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4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4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4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4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4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4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E4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F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4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42" sId="1" ref="A51:XFD51" action="deleteRow">
    <undo index="65535" exp="area" ref3D="1" dr="$H$1:$N$1048576" dn="Z_65B035E3_87FA_46C5_996E_864F2C8D0EBC_.wvu.Cols" sId="1"/>
    <rfmt sheetId="1" xfDxf="1" sqref="A51:XFD51" start="0" length="0"/>
    <rfmt sheetId="1" sqref="A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B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51"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51"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5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L5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1">
        <f>S51/AE51*100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O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R51" start="0" length="0">
      <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dxf>
    </rfmt>
    <rcc rId="0" sId="1" dxf="1">
      <nc r="S51">
        <f>T51+U51</f>
      </nc>
      <ndxf>
        <font>
          <sz val="12"/>
          <color auto="1"/>
          <name val="Calibri"/>
          <family val="2"/>
          <charset val="238"/>
          <scheme val="minor"/>
        </font>
        <numFmt numFmtId="164" formatCode="_-* #,##0.00\ _l_e_i_-;\-* #,##0.00\ _l_e_i_-;_-* &quot;-&quot;??\ _l_e_i_-;_-@_-"/>
        <alignment horizontal="center" vertical="center" wrapText="1"/>
        <border outline="0">
          <left style="thin">
            <color indexed="64"/>
          </left>
          <right style="thin">
            <color indexed="64"/>
          </right>
          <top style="thin">
            <color indexed="64"/>
          </top>
          <bottom style="thin">
            <color indexed="64"/>
          </bottom>
        </border>
      </ndxf>
    </rcc>
    <rfmt sheetId="1" sqref="T5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5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51">
        <f>W51+X51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5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X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cc rId="0" sId="1" dxf="1">
      <nc r="Y51">
        <f>Z51+AA51</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Z51" start="0" length="0">
      <dxf>
        <font>
          <sz val="12"/>
          <color theme="1"/>
          <name val="Calibri"/>
          <family val="2"/>
          <charset val="238"/>
          <scheme val="minor"/>
        </font>
        <numFmt numFmtId="164" formatCode="_-* #,##0.00\ _l_e_i_-;\-* #,##0.00\ _l_e_i_-;_-* &quot;-&quot;??\ _l_e_i_-;_-@_-"/>
        <alignment horizontal="center" vertical="center" wrapText="1"/>
        <border outline="0">
          <left style="thin">
            <color indexed="64"/>
          </left>
          <right style="thin">
            <color indexed="64"/>
          </right>
          <top style="thin">
            <color indexed="64"/>
          </top>
          <bottom style="thin">
            <color indexed="64"/>
          </bottom>
        </border>
      </dxf>
    </rfmt>
    <rfmt sheetId="1" sqref="AA5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B51">
        <v>0</v>
      </nc>
      <n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ndxf>
    </rcc>
    <rfmt sheetId="1" sqref="AC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AD5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51">
        <f>S51+V51+Y51+AB51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cc rId="0" sId="1" s="1" dxf="1">
      <nc r="AG51">
        <f>AE51+AF51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AI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43" sId="1" ref="A51:XFD51" action="deleteRow">
    <undo index="65535" exp="area" ref3D="1" dr="$H$1:$N$1048576" dn="Z_65B035E3_87FA_46C5_996E_864F2C8D0EBC_.wvu.Cols" sId="1"/>
    <rfmt sheetId="1" xfDxf="1" sqref="A51:XFD51" start="0" length="0"/>
    <rfmt sheetId="1" sqref="A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B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51"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51"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5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L5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1">
        <f>S51/AE51*100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O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R51" start="0" length="0">
      <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dxf>
    </rfmt>
    <rcc rId="0" sId="1" dxf="1">
      <nc r="S51">
        <f>T51+U51</f>
      </nc>
      <ndxf>
        <font>
          <sz val="12"/>
          <color auto="1"/>
          <name val="Calibri"/>
          <family val="2"/>
          <charset val="238"/>
          <scheme val="minor"/>
        </font>
        <numFmt numFmtId="164" formatCode="_-* #,##0.00\ _l_e_i_-;\-* #,##0.00\ _l_e_i_-;_-* &quot;-&quot;??\ _l_e_i_-;_-@_-"/>
        <alignment horizontal="center" vertical="center" wrapText="1"/>
        <border outline="0">
          <left style="thin">
            <color indexed="64"/>
          </left>
          <right style="thin">
            <color indexed="64"/>
          </right>
          <top style="thin">
            <color indexed="64"/>
          </top>
          <bottom style="thin">
            <color indexed="64"/>
          </bottom>
        </border>
      </ndxf>
    </rcc>
    <rfmt sheetId="1" sqref="T5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5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51">
        <f>W51+X51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5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X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cc rId="0" sId="1" dxf="1">
      <nc r="Y51">
        <f>Z51+AA51</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Z51" start="0" length="0">
      <dxf>
        <font>
          <sz val="12"/>
          <color theme="1"/>
          <name val="Calibri"/>
          <family val="2"/>
          <charset val="238"/>
          <scheme val="minor"/>
        </font>
        <numFmt numFmtId="164" formatCode="_-* #,##0.00\ _l_e_i_-;\-* #,##0.00\ _l_e_i_-;_-* &quot;-&quot;??\ _l_e_i_-;_-@_-"/>
        <alignment horizontal="center" vertical="center" wrapText="1"/>
        <border outline="0">
          <left style="thin">
            <color indexed="64"/>
          </left>
          <right style="thin">
            <color indexed="64"/>
          </right>
          <top style="thin">
            <color indexed="64"/>
          </top>
          <bottom style="thin">
            <color indexed="64"/>
          </bottom>
        </border>
      </dxf>
    </rfmt>
    <rfmt sheetId="1" sqref="AA5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B51">
        <v>0</v>
      </nc>
      <n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ndxf>
    </rcc>
    <rfmt sheetId="1" sqref="AC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AD5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51">
        <f>S51+V51+Y51+AB51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cc rId="0" sId="1" s="1" dxf="1">
      <nc r="AG51">
        <f>AE51+AF51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AI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44" sId="1" ref="A51:XFD51" action="deleteRow">
    <undo index="65535" exp="area" ref3D="1" dr="$H$1:$N$1048576" dn="Z_65B035E3_87FA_46C5_996E_864F2C8D0EBC_.wvu.Cols" sId="1"/>
    <rfmt sheetId="1" xfDxf="1" sqref="A51:XFD51" start="0" length="0"/>
    <rfmt sheetId="1" sqref="A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B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51"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51"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5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L5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1">
        <f>S51/AE51*100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O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R51" start="0" length="0">
      <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dxf>
    </rfmt>
    <rcc rId="0" sId="1" dxf="1">
      <nc r="S51">
        <f>T51+U51</f>
      </nc>
      <ndxf>
        <font>
          <sz val="12"/>
          <color auto="1"/>
          <name val="Calibri"/>
          <family val="2"/>
          <charset val="238"/>
          <scheme val="minor"/>
        </font>
        <numFmt numFmtId="164" formatCode="_-* #,##0.00\ _l_e_i_-;\-* #,##0.00\ _l_e_i_-;_-* &quot;-&quot;??\ _l_e_i_-;_-@_-"/>
        <alignment horizontal="center" vertical="center" wrapText="1"/>
        <border outline="0">
          <left style="thin">
            <color indexed="64"/>
          </left>
          <right style="thin">
            <color indexed="64"/>
          </right>
          <top style="thin">
            <color indexed="64"/>
          </top>
          <bottom style="thin">
            <color indexed="64"/>
          </bottom>
        </border>
      </ndxf>
    </rcc>
    <rfmt sheetId="1" sqref="T5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5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51">
        <f>W51+X51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5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X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cc rId="0" sId="1" dxf="1">
      <nc r="Y51">
        <f>Z51+AA51</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Z51" start="0" length="0">
      <dxf>
        <font>
          <sz val="12"/>
          <color theme="1"/>
          <name val="Calibri"/>
          <family val="2"/>
          <charset val="238"/>
          <scheme val="minor"/>
        </font>
        <numFmt numFmtId="164" formatCode="_-* #,##0.00\ _l_e_i_-;\-* #,##0.00\ _l_e_i_-;_-* &quot;-&quot;??\ _l_e_i_-;_-@_-"/>
        <alignment horizontal="center" vertical="center" wrapText="1"/>
        <border outline="0">
          <left style="thin">
            <color indexed="64"/>
          </left>
          <right style="thin">
            <color indexed="64"/>
          </right>
          <top style="thin">
            <color indexed="64"/>
          </top>
          <bottom style="thin">
            <color indexed="64"/>
          </bottom>
        </border>
      </dxf>
    </rfmt>
    <rfmt sheetId="1" sqref="AA5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B51">
        <v>0</v>
      </nc>
      <n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ndxf>
    </rcc>
    <rfmt sheetId="1" sqref="AC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AD5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51">
        <f>S51+V51+Y51+AB51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cc rId="0" sId="1" s="1" dxf="1">
      <nc r="AG51">
        <f>AE51+AF51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AI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45" sId="1" ref="A51:XFD51" action="deleteRow">
    <undo index="65535" exp="area" ref3D="1" dr="$H$1:$N$1048576" dn="Z_65B035E3_87FA_46C5_996E_864F2C8D0EBC_.wvu.Cols" sId="1"/>
    <rfmt sheetId="1" xfDxf="1" sqref="A51:XFD51" start="0" length="0"/>
    <rfmt sheetId="1" sqref="A5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51" t="inlineStr">
        <is>
          <t>TOTAL BUZĂU</t>
        </is>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H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51">
        <f>SUM(S47:S49)</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T51">
        <f>SUM(T47:T49)</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U51">
        <f>SUM(U47:U50)</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V51">
        <f>SUM(V47:V49)</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W51">
        <f>SUM(W47:W49)</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X51">
        <f>SUM(X47:X49)</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Y51">
        <f>SUM(Y47:Y49)</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Z51">
        <f>SUM(Z47:Z49)</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A51">
        <f>SUM(AA47:AA50)</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B51">
        <f>SUM(AB47:AB49)</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C51">
        <f>SUM(AC47:AC49)</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D51">
        <f>SUM(AD47:AD50)</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E51">
        <f>SUM(AE47:AE49)</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F51">
        <f>SUM(AF47:AF49)</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G51">
        <f>SUM(AG47:AG49)</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AH5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dxf="1">
      <nc r="AI51">
        <f>SUM(AI47:AI49)</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J51">
        <f>SUM(AJ47:AJ49)</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K51">
        <f>SUM(AK47:AK49)</f>
      </nc>
      <n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rc>
  <rrc rId="6046" sId="1" ref="A54:XFD54" action="deleteRow">
    <undo index="0" exp="area" v="1" dr="Z54:Z55" r="Y55" sId="1"/>
    <undo index="65535" exp="area" ref3D="1" dr="$H$1:$N$1048576" dn="Z_65B035E3_87FA_46C5_996E_864F2C8D0EBC_.wvu.Cols" sId="1"/>
    <rfmt sheetId="1" xfDxf="1" sqref="A54:XFD54" start="0" length="0"/>
    <rfmt sheetId="1" sqref="A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G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5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4">
        <f>S54/AE54*100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54">
        <f>T54+U54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54">
        <f>W54+X54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4" start="0" length="0">
      <dxf>
        <font>
          <sz val="12"/>
          <color auto="1"/>
          <name val="Calibri"/>
          <family val="2"/>
          <charset val="238"/>
          <scheme val="minor"/>
        </font>
        <numFmt numFmtId="4" formatCode="#,##0.00"/>
        <alignment horizontal="center" vertical="center"/>
        <border outline="0">
          <left style="thin">
            <color indexed="64"/>
          </left>
          <right style="thin">
            <color indexed="64"/>
          </right>
          <top style="thin">
            <color indexed="64"/>
          </top>
          <bottom style="thin">
            <color indexed="64"/>
          </bottom>
        </border>
      </dxf>
    </rfmt>
    <rfmt sheetId="1" sqref="X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dxf="1">
      <nc r="Y54">
        <f>Z53:Z54+AA54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54">
        <f>AC54+AD54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54">
        <f>S54+V54+Y54+AB54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4">
        <f>AE54+AF54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47" sId="1" ref="A54:XFD54" action="deleteRow">
    <undo index="0" exp="area" v="1" dr="Z54:Z55" r="Y55" sId="1"/>
    <undo index="65535" exp="area" ref3D="1" dr="$H$1:$N$1048576" dn="Z_65B035E3_87FA_46C5_996E_864F2C8D0EBC_.wvu.Cols" sId="1"/>
    <rfmt sheetId="1" xfDxf="1" sqref="A54:XFD54" start="0" length="0"/>
    <rfmt sheetId="1" sqref="A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G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5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4">
        <f>S54/AE54*100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54">
        <f>T54+U54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54">
        <f>W54+X54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4" start="0" length="0">
      <dxf>
        <font>
          <sz val="12"/>
          <color auto="1"/>
          <name val="Calibri"/>
          <family val="2"/>
          <charset val="238"/>
          <scheme val="minor"/>
        </font>
        <numFmt numFmtId="4" formatCode="#,##0.00"/>
        <alignment horizontal="center" vertical="center"/>
        <border outline="0">
          <left style="thin">
            <color indexed="64"/>
          </left>
          <right style="thin">
            <color indexed="64"/>
          </right>
          <top style="thin">
            <color indexed="64"/>
          </top>
          <bottom style="thin">
            <color indexed="64"/>
          </bottom>
        </border>
      </dxf>
    </rfmt>
    <rfmt sheetId="1" sqref="X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dxf="1">
      <nc r="Y54">
        <f>Z54:Z54+AA54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54">
        <f>AC54+AD54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54">
        <f>S54+V54+Y54+AB54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4">
        <f>AE54+AF54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48" sId="1" ref="A54:XFD54" action="deleteRow">
    <undo index="65535" exp="area" ref3D="1" dr="$H$1:$N$1048576" dn="Z_65B035E3_87FA_46C5_996E_864F2C8D0EBC_.wvu.Cols" sId="1"/>
    <rfmt sheetId="1" xfDxf="1" sqref="A54:XFD54" start="0" length="0"/>
    <rfmt sheetId="1" sqref="A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G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5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4">
        <f>S54/AE54*100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54">
        <f>T54+U54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54">
        <f>W54+X54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4" start="0" length="0">
      <dxf>
        <font>
          <sz val="12"/>
          <color auto="1"/>
          <name val="Calibri"/>
          <family val="2"/>
          <charset val="238"/>
          <scheme val="minor"/>
        </font>
        <numFmt numFmtId="4" formatCode="#,##0.00"/>
        <alignment horizontal="center" vertical="center"/>
        <border outline="0">
          <left style="thin">
            <color indexed="64"/>
          </left>
          <right style="thin">
            <color indexed="64"/>
          </right>
          <top style="thin">
            <color indexed="64"/>
          </top>
          <bottom style="thin">
            <color indexed="64"/>
          </bottom>
        </border>
      </dxf>
    </rfmt>
    <rfmt sheetId="1" sqref="X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dxf="1">
      <nc r="Y54">
        <f>Z54:Z54+AA54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54">
        <f>AC54+AD54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54">
        <f>S54+V54+Y54+AB54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4">
        <f>AE54+AF54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49" sId="1" ref="A54:XFD54" action="deleteRow">
    <undo index="65535" exp="area" dr="AK52:AK54" r="AK55" sId="1"/>
    <undo index="65535" exp="area" dr="AJ52:AJ54" r="AJ55" sId="1"/>
    <undo index="65535" exp="area" dr="AI52:AI54" r="AI55" sId="1"/>
    <undo index="65535" exp="area" dr="AG52:AG54" r="AG55" sId="1"/>
    <undo index="65535" exp="area" dr="AF52:AF54" r="AF55" sId="1"/>
    <undo index="65535" exp="area" dr="AE52:AE54" r="AE55" sId="1"/>
    <undo index="65535" exp="area" dr="AD52:AD54" r="AD55" sId="1"/>
    <undo index="65535" exp="area" dr="AC52:AC54" r="AC55" sId="1"/>
    <undo index="65535" exp="area" dr="AB52:AB54" r="AB55" sId="1"/>
    <undo index="65535" exp="area" dr="AA52:AA54" r="AA55" sId="1"/>
    <undo index="65535" exp="area" dr="Z52:Z54" r="Z55" sId="1"/>
    <undo index="65535" exp="area" dr="Y52:Y54" r="Y55" sId="1"/>
    <undo index="65535" exp="area" dr="X52:X54" r="X55" sId="1"/>
    <undo index="65535" exp="area" dr="W52:W54" r="W55" sId="1"/>
    <undo index="65535" exp="area" dr="V52:V54" r="V55" sId="1"/>
    <undo index="65535" exp="area" dr="U52:U54" r="U55" sId="1"/>
    <undo index="65535" exp="area" dr="T52:T54" r="T55" sId="1"/>
    <undo index="65535" exp="area" dr="S52:S54" r="S55" sId="1"/>
    <undo index="65535" exp="area" ref3D="1" dr="$H$1:$N$1048576" dn="Z_65B035E3_87FA_46C5_996E_864F2C8D0EBC_.wvu.Cols" sId="1"/>
    <rfmt sheetId="1" xfDxf="1" sqref="A54:XFD54" start="0" length="0"/>
    <rfmt sheetId="1" sqref="A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4">
        <f>S54/AE54*100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54">
        <f>T54+U54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54">
        <f>W54+X54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dxf="1">
      <nc r="Y54">
        <f>Z54+AA54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54">
        <f>AC54+AD54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54">
        <f>S54+V54+Y54+AB54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4">
        <f>AE54+AF54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50" sId="1" ref="A54:XFD54" action="deleteRow">
    <undo index="65535" exp="area" ref3D="1" dr="$H$1:$N$1048576" dn="Z_65B035E3_87FA_46C5_996E_864F2C8D0EBC_.wvu.Cols" sId="1"/>
    <rfmt sheetId="1" xfDxf="1" sqref="A54:XFD54" start="0" length="0"/>
    <rfmt sheetId="1" sqref="A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C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D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E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cc rId="0" sId="1" dxf="1">
      <nc r="G54" t="inlineStr">
        <is>
          <t>TOTAL CĂLĂRAȘI</t>
        </is>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H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I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54">
        <f>SUM(S52:S53)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T54">
        <f>SUM(T52:T53)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U54">
        <f>SUM(U52:U53)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V54">
        <f>SUM(V52:V53)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W54">
        <f>SUM(W52:W53)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X54">
        <f>SUM(X52:X53)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Y54">
        <f>SUM(Y52:Y53)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Z54">
        <f>SUM(Z52:Z53)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A54">
        <f>SUM(AA52:AA53)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B54">
        <f>SUM(AB52:AB53)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C54">
        <f>SUM(AC52:AC53)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D54">
        <f>SUM(AD52:AD53)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E54">
        <f>SUM(AE52:AE53)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F54">
        <f>SUM(AF52:AF53)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G54">
        <f>SUM(AG52:AG53)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fmt sheetId="1" sqref="AH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dxf="1">
      <nc r="AI54">
        <f>SUM(AI52:AI53)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J54">
        <f>SUM(AJ52:AJ53)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K54">
        <f>SUM(AK52:AK53)</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rc>
  <rrc rId="6051" sId="1" ref="A54:XFD54" action="deleteRow">
    <undo index="65535" exp="area" ref3D="1" dr="$H$1:$N$1048576" dn="Z_65B035E3_87FA_46C5_996E_864F2C8D0EBC_.wvu.Cols" sId="1"/>
    <rfmt sheetId="1" xfDxf="1" sqref="A54:XFD54" start="0" length="0"/>
    <rfmt sheetId="1" sqref="A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4" t="inlineStr">
        <is>
          <t>CARAȘ SEVERIN</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5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E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F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5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52" sId="1" ref="A55:XFD55" action="deleteRow">
    <undo index="65535" exp="area" ref3D="1" dr="$H$1:$N$1048576" dn="Z_65B035E3_87FA_46C5_996E_864F2C8D0EBC_.wvu.Cols" sId="1"/>
    <rfmt sheetId="1" xfDxf="1" sqref="A55:XFD55" start="0" length="0"/>
    <rcc rId="0" sId="1" dxf="1">
      <nc r="A55">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5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5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5">
        <f>S55/AE55*100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5">
        <f>T55+U55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55">
        <f>W55+X55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55">
        <f>Z55+AA55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5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55">
        <f>AC55+AD55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55">
        <f>S55+V55+Y55+AB55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5">
        <f>AE55+AF55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53" sId="1" ref="A55:XFD55" action="deleteRow">
    <undo index="65535" exp="area" dr="AK54:AK55" r="AK56" sId="1"/>
    <undo index="65535" exp="area" dr="AJ54:AJ55" r="AJ56" sId="1"/>
    <undo index="65535" exp="area" dr="AI54:AI55" r="AI56" sId="1"/>
    <undo index="65535" exp="area" dr="AG54:AG55" r="AG56" sId="1"/>
    <undo index="65535" exp="area" dr="AF54:AF55" r="AF56" sId="1"/>
    <undo index="65535" exp="area" dr="AE54:AE55" r="AE56" sId="1"/>
    <undo index="65535" exp="area" dr="AD54:AD55" r="AD56" sId="1"/>
    <undo index="65535" exp="area" dr="AC54:AC55" r="AC56" sId="1"/>
    <undo index="65535" exp="area" dr="AB54:AB55" r="AB56" sId="1"/>
    <undo index="65535" exp="area" dr="AA54:AA55" r="AA56" sId="1"/>
    <undo index="65535" exp="area" dr="Z54:Z55" r="Z56" sId="1"/>
    <undo index="65535" exp="area" dr="Y54:Y55" r="Y56" sId="1"/>
    <undo index="65535" exp="area" dr="X54:X55" r="X56" sId="1"/>
    <undo index="65535" exp="area" dr="W54:W55" r="W56" sId="1"/>
    <undo index="65535" exp="area" dr="V54:V55" r="V56" sId="1"/>
    <undo index="65535" exp="area" dr="U54:U55" r="U56" sId="1"/>
    <undo index="65535" exp="area" dr="T54:T55" r="T56" sId="1"/>
    <undo index="65535" exp="area" dr="S54:S55" r="S56" sId="1"/>
    <undo index="65535" exp="area" ref3D="1" dr="$H$1:$N$1048576" dn="Z_65B035E3_87FA_46C5_996E_864F2C8D0EBC_.wvu.Cols" sId="1"/>
    <rfmt sheetId="1" xfDxf="1" sqref="A55:XFD55" start="0" length="0"/>
    <rfmt sheetId="1" sqref="A5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5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5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5">
        <f>S55/AE55*100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5">
        <f>T55+U55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55">
        <f>W55+X55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55">
        <f>Z55+AA55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5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55">
        <f>AC55+AD55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55">
        <f>S55+V55+Y55+AB55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5">
        <f>AE55+AF55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54" sId="1" ref="A55:XFD55" action="deleteRow">
    <undo index="65535" exp="area" ref3D="1" dr="$H$1:$N$1048576" dn="Z_65B035E3_87FA_46C5_996E_864F2C8D0EBC_.wvu.Cols" sId="1"/>
    <rfmt sheetId="1" xfDxf="1" sqref="A55:XFD55" start="0" length="0"/>
    <rfmt sheetId="1" sqref="A55" start="0" length="0">
      <dxf>
        <font>
          <b/>
          <sz val="12"/>
          <color auto="1"/>
          <name val="Calibri"/>
          <family val="2"/>
          <charset val="238"/>
          <scheme val="minor"/>
        </font>
        <alignment horizontal="center" vertical="center" wrapText="1"/>
        <border outline="0">
          <left style="medium">
            <color indexed="64"/>
          </left>
          <top style="thin">
            <color indexed="64"/>
          </top>
          <bottom style="thin">
            <color indexed="64"/>
          </bottom>
        </border>
      </dxf>
    </rfmt>
    <rfmt sheetId="1" sqref="B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5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55" start="0" length="0">
      <dxf>
        <font>
          <b/>
          <sz val="12"/>
          <color auto="1"/>
          <name val="Calibri"/>
          <family val="2"/>
          <charset val="238"/>
          <scheme val="minor"/>
        </font>
        <alignment horizontal="center" vertical="center" wrapText="1"/>
        <border outline="0">
          <left style="thin">
            <color indexed="64"/>
          </left>
          <top style="thin">
            <color indexed="64"/>
          </top>
          <bottom style="thin">
            <color indexed="64"/>
          </bottom>
        </border>
      </dxf>
    </rfmt>
    <rfmt sheetId="1" sqref="F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55" t="inlineStr">
        <is>
          <t>TOTAL CARAȘ SEVERIN</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5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I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55">
        <f>SUM(S54:S54)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55">
        <f>SUM(T54:T54)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55">
        <f>SUM(U54:U54)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55">
        <f>SUM(V54:V54)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55">
        <f>SUM(W54:W54)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55">
        <f>SUM(X54:X54)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55">
        <f>SUM(Y54:Y54)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55">
        <f>SUM(Z54:Z54)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55">
        <f>SUM(AA54:AA54)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55">
        <f>SUM(AB54:AB54)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55">
        <f>SUM(AC54:AC54)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55">
        <f>SUM(AD54:AD54)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55">
        <f>SUM(AE54:AE54)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55">
        <f>SUM(AF54:AF54)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55">
        <f>SUM(AG54:AG54)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5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55">
        <f>SUM(AI54:AI54)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55">
        <f>SUM(AJ54:AJ54)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55">
        <f>SUM(AK54:AK54)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055" sId="1" ref="A55:XFD55" action="deleteRow">
    <undo index="65535" exp="area" ref3D="1" dr="$H$1:$N$1048576" dn="Z_65B035E3_87FA_46C5_996E_864F2C8D0EBC_.wvu.Cols" sId="1"/>
    <rfmt sheetId="1" xfDxf="1" sqref="A55:XFD55" start="0" length="0"/>
    <rfmt sheetId="1" sqref="A5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5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5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5" t="inlineStr">
        <is>
          <t>CLUJ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5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5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5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E5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F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5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56" sId="1" ref="A59:XFD59" action="deleteRow">
    <undo index="65535" exp="area" ref3D="1" dr="$H$1:$N$1048576" dn="Z_65B035E3_87FA_46C5_996E_864F2C8D0EBC_.wvu.Cols" sId="1"/>
    <rfmt sheetId="1" xfDxf="1" sqref="A59:XFD59" start="0" length="0"/>
    <rfmt sheetId="1" sqref="A5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9"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59" start="0" length="0">
      <dxf>
        <font>
          <sz val="12"/>
          <color auto="1"/>
          <name val="Trebuchet MS"/>
          <family val="2"/>
          <charset val="238"/>
          <scheme val="none"/>
        </font>
        <alignment horizontal="left" vertical="center" wrapText="1"/>
        <border outline="0">
          <left style="thin">
            <color indexed="64"/>
          </left>
          <right style="thin">
            <color indexed="64"/>
          </right>
          <top style="thin">
            <color indexed="64"/>
          </top>
          <bottom style="thin">
            <color indexed="64"/>
          </bottom>
        </border>
      </dxf>
    </rfmt>
    <rfmt sheetId="1" sqref="H59"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9">
        <f>S59/AE59*100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9">
        <f>T59+U59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U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V59">
        <f>W59+X59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Y59">
        <f>Z59+AA59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B59">
        <f>AC59+AD59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D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E59">
        <f>S59+V59+Y59+AB59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F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59">
        <f>AE59+AF59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57" sId="1" ref="A59:XFD59" action="deleteRow">
    <undo index="65535" exp="area" dr="AK55:AK59" r="AK60" sId="1"/>
    <undo index="65535" exp="area" dr="AJ55:AJ59" r="AJ60" sId="1"/>
    <undo index="65535" exp="area" dr="AI55:AI59" r="AI60" sId="1"/>
    <undo index="65535" exp="area" dr="AG55:AG59" r="AG60" sId="1"/>
    <undo index="65535" exp="area" dr="AF55:AF59" r="AF60" sId="1"/>
    <undo index="65535" exp="area" dr="AE55:AE59" r="AE60" sId="1"/>
    <undo index="65535" exp="area" dr="AD55:AD59" r="AD60" sId="1"/>
    <undo index="65535" exp="area" dr="AC55:AC59" r="AC60" sId="1"/>
    <undo index="65535" exp="area" dr="AB55:AB59" r="AB60" sId="1"/>
    <undo index="65535" exp="area" dr="AA55:AA59" r="AA60" sId="1"/>
    <undo index="65535" exp="area" dr="Z55:Z59" r="Z60" sId="1"/>
    <undo index="65535" exp="area" dr="Y55:Y59" r="Y60" sId="1"/>
    <undo index="65535" exp="area" dr="X55:X59" r="X60" sId="1"/>
    <undo index="65535" exp="area" dr="W55:W59" r="W60" sId="1"/>
    <undo index="65535" exp="area" dr="V55:V59" r="V60" sId="1"/>
    <undo index="65535" exp="area" dr="U55:U59" r="U60" sId="1"/>
    <undo index="65535" exp="area" dr="T55:T59" r="T60" sId="1"/>
    <undo index="65535" exp="area" dr="S55:S59" r="S60" sId="1"/>
    <undo index="65535" exp="area" ref3D="1" dr="$H$1:$N$1048576" dn="Z_65B035E3_87FA_46C5_996E_864F2C8D0EBC_.wvu.Cols" sId="1"/>
    <rfmt sheetId="1" xfDxf="1" sqref="A59:XFD59" start="0" length="0"/>
    <rfmt sheetId="1" sqref="A5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9"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59" start="0" length="0">
      <dxf>
        <font>
          <sz val="12"/>
          <color auto="1"/>
          <name val="Trebuchet MS"/>
          <family val="2"/>
          <charset val="238"/>
          <scheme val="none"/>
        </font>
        <alignment horizontal="left" vertical="center" wrapText="1"/>
        <border outline="0">
          <left style="thin">
            <color indexed="64"/>
          </left>
          <right style="thin">
            <color indexed="64"/>
          </right>
          <top style="thin">
            <color indexed="64"/>
          </top>
          <bottom style="thin">
            <color indexed="64"/>
          </bottom>
        </border>
      </dxf>
    </rfmt>
    <rfmt sheetId="1" sqref="H59"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9">
        <f>S59/AE59*100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9">
        <f>T59+U59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U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V59">
        <f>W59+X59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Y59">
        <f>Z59+AA59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B59">
        <f>AC59+AD59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D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E59">
        <f>S59+V59+Y59+AB59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F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59">
        <f>AE59+AF59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58" sId="1" ref="A59:XFD59" action="deleteRow">
    <undo index="65535" exp="area" ref3D="1" dr="$H$1:$N$1048576" dn="Z_65B035E3_87FA_46C5_996E_864F2C8D0EBC_.wvu.Cols" sId="1"/>
    <rfmt sheetId="1" xfDxf="1" sqref="A59:XFD59" start="0" length="0"/>
    <rfmt sheetId="1" sqref="A59" start="0" length="0">
      <dxf>
        <font>
          <b/>
          <sz val="12"/>
          <color auto="1"/>
          <name val="Calibri"/>
          <family val="2"/>
          <charset val="238"/>
          <scheme val="minor"/>
        </font>
        <alignment horizontal="center" vertical="center" wrapText="1"/>
        <border outline="0">
          <left style="medium">
            <color indexed="64"/>
          </left>
          <top style="thin">
            <color indexed="64"/>
          </top>
          <bottom style="thin">
            <color indexed="64"/>
          </bottom>
        </border>
      </dxf>
    </rfmt>
    <rfmt sheetId="1" sqref="B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59" start="0" length="0">
      <dxf>
        <font>
          <b/>
          <sz val="12"/>
          <color auto="1"/>
          <name val="Calibri"/>
          <family val="2"/>
          <charset val="238"/>
          <scheme val="minor"/>
        </font>
        <alignment horizontal="center" vertical="center" wrapText="1"/>
        <border outline="0">
          <top style="thin">
            <color indexed="64"/>
          </top>
          <bottom style="thin">
            <color indexed="64"/>
          </bottom>
        </border>
      </dxf>
    </rfmt>
    <rfmt sheetId="1" sqref="D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59" t="inlineStr">
        <is>
          <t>TOTAL CLUJ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59"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I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59">
        <f>SUM(S55:S58)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59">
        <f>SUM(T55:T58)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59">
        <f>SUM(U55:U58)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59">
        <f>SUM(V55:V58)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59">
        <f>SUM(W55:W58)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59">
        <f>SUM(X55:X58)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59">
        <f>SUM(Y55:Y58)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59">
        <f>SUM(Z55:Z58)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59">
        <f>SUM(AA55:AA58)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59">
        <f>SUM(AB55:AB58)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59">
        <f>SUM(AC55:AC58)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59">
        <f>SUM(AD55:AD58)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59">
        <f>SUM(AE55:AE58)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59">
        <f>SUM(AF55:AF58)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59">
        <f>SUM(AG55:AG58)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59"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59">
        <f>SUM(AI55:AI58)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59">
        <f>SUM(AJ55:AJ58)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59">
        <f>SUM(AK55:AK58)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059" sId="1" ref="A59:XFD59" action="deleteRow">
    <undo index="65535" exp="area" ref3D="1" dr="$H$1:$N$1048576" dn="Z_65B035E3_87FA_46C5_996E_864F2C8D0EBC_.wvu.Cols" sId="1"/>
    <rfmt sheetId="1" xfDxf="1" sqref="A59:XFD59" start="0" length="0"/>
    <rfmt sheetId="1" sqref="A5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9"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5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9" t="inlineStr">
        <is>
          <t>CONSTANȚA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9"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59"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E59"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F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60" sId="1" ref="A62:XFD62" action="deleteRow">
    <undo index="65535" exp="area" ref3D="1" dr="$H$1:$N$1048576" dn="Z_65B035E3_87FA_46C5_996E_864F2C8D0EBC_.wvu.Cols" sId="1"/>
    <rfmt sheetId="1" xfDxf="1" sqref="A62:XFD62" start="0" length="0"/>
    <rfmt sheetId="1" sqref="A62"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2"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G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2">
        <f>S62/AE62*100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2">
        <f>T62+U62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62">
        <f>W62+X62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Y62">
        <f>Z62+AA62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62">
        <f>AC62+AD62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D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62">
        <f>S62+V62+Y62+AB62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2">
        <f>AE62+AF62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rc>
  <rrc rId="6061" sId="1" ref="A62:XFD62" action="deleteRow">
    <undo index="65535" exp="area" ref3D="1" dr="$H$1:$N$1048576" dn="Z_65B035E3_87FA_46C5_996E_864F2C8D0EBC_.wvu.Cols" sId="1"/>
    <rfmt sheetId="1" xfDxf="1" sqref="A62:XFD62" start="0" length="0"/>
    <rfmt sheetId="1" sqref="A62"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2"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G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2">
        <f>S62/AE62*100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2">
        <f>T62+U62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62">
        <f>W62+X62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Y62">
        <f>Z62+AA62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62">
        <f>AC62+AD62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D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62">
        <f>S62+V62+Y62+AB62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2">
        <f>AE62+AF62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rc>
  <rrc rId="6062" sId="1" ref="A62:XFD62" action="deleteRow">
    <undo index="65535" exp="area" ref3D="1" dr="$H$1:$N$1048576" dn="Z_65B035E3_87FA_46C5_996E_864F2C8D0EBC_.wvu.Cols" sId="1"/>
    <rfmt sheetId="1" xfDxf="1" sqref="A62:XFD62" start="0" length="0"/>
    <rfmt sheetId="1" sqref="A62"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2"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G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2">
        <f>S62/AE62*100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2">
        <f>T62+U62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62">
        <f>W62+X62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Y62">
        <f>Z62+AA62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62">
        <f>AC62+AD62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D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62">
        <f>S62+V62+Y62+AB62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2">
        <f>AE62+AF62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rc>
  <rrc rId="6063" sId="1" ref="A62:XFD62" action="deleteRow">
    <undo index="65535" exp="area" ref3D="1" dr="$H$1:$N$1048576" dn="Z_65B035E3_87FA_46C5_996E_864F2C8D0EBC_.wvu.Cols" sId="1"/>
    <rfmt sheetId="1" xfDxf="1" sqref="A62:XFD62" start="0" length="0"/>
    <rfmt sheetId="1" sqref="A62"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2"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G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2">
        <f>S62/AE62*100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2">
        <f>T62+U62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62">
        <f>W62+X62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Y62">
        <f>Z62+AA62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62">
        <f>AC62+AD62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D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62">
        <f>S62+V62+Y62+AB62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2">
        <f>AE62+AF62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rc>
  <rrc rId="6064" sId="1" ref="A62:XFD62" action="deleteRow">
    <undo index="65535" exp="area" ref3D="1" dr="$H$1:$N$1048576" dn="Z_65B035E3_87FA_46C5_996E_864F2C8D0EBC_.wvu.Cols" sId="1"/>
    <rfmt sheetId="1" xfDxf="1" sqref="A62:XFD62" start="0" length="0"/>
    <rfmt sheetId="1" sqref="A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62" t="inlineStr">
        <is>
          <t>TOTAL CONSTANȚA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62"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I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62">
        <f>SUM(S59:S61)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62">
        <f>SUM(T59:T61)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62">
        <f>SUM(U59:U61)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62">
        <f>SUM(V59:V61)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62">
        <f>SUM(W59:W61)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62">
        <f>SUM(X59:X61)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62">
        <f>SUM(Y59:Y61)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62">
        <f>SUM(Z59:Z61)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62">
        <f>SUM(AA59:AA61)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62">
        <f>SUM(AB59:AB61)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62">
        <f>SUM(AC59:AC61)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62">
        <f>SUM(AD59:AD61)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62">
        <f>SUM(AE59:AE61)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62">
        <f>SUM(AF59:AF61)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62">
        <f>SUM(AG59:AG61)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6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62">
        <f>SUM(AI59:AI61)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62">
        <f>SUM(AJ59:AJ61)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62">
        <f>SUM(AK59:AK61)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065" sId="1" ref="A62:XFD62" action="deleteRow">
    <undo index="65535" exp="area" ref3D="1" dr="$H$1:$N$1048576" dn="Z_65B035E3_87FA_46C5_996E_864F2C8D0EBC_.wvu.Cols" sId="1"/>
    <rfmt sheetId="1" xfDxf="1" sqref="A62:XFD62" start="0" length="0"/>
    <rfmt sheetId="1" sqref="A6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2"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6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2">
        <f>S62/AE62*100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62" t="inlineStr">
        <is>
          <t>COVASNA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V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Y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6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6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E6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F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6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66" sId="1" ref="A62:XFD62" action="deleteRow">
    <undo index="65535" exp="area" dr="AK62:AK64" r="AK65" sId="1"/>
    <undo index="65535" exp="area" dr="AJ62:AJ64" r="AJ65" sId="1"/>
    <undo index="65535" exp="area" dr="AI62:AI64" r="AI65" sId="1"/>
    <undo index="65535" exp="area" dr="AG62:AG64" r="AG65" sId="1"/>
    <undo index="65535" exp="area" dr="AF62:AF64" r="AF65" sId="1"/>
    <undo index="65535" exp="area" dr="AE62:AE64" r="AE65" sId="1"/>
    <undo index="65535" exp="area" dr="AD62:AD64" r="AD65" sId="1"/>
    <undo index="65535" exp="area" dr="AC62:AC64" r="AC65" sId="1"/>
    <undo index="65535" exp="area" dr="AB62:AB64" r="AB65" sId="1"/>
    <undo index="65535" exp="area" dr="AA62:AA64" r="AA65" sId="1"/>
    <undo index="65535" exp="area" dr="Z62:Z64" r="Z65" sId="1"/>
    <undo index="65535" exp="area" dr="Y62:Y64" r="Y65" sId="1"/>
    <undo index="65535" exp="area" dr="X62:X64" r="X65" sId="1"/>
    <undo index="65535" exp="area" dr="W62:W64" r="W65" sId="1"/>
    <undo index="65535" exp="area" dr="V62:V64" r="V65" sId="1"/>
    <undo index="65535" exp="area" dr="U62:U64" r="U65" sId="1"/>
    <undo index="65535" exp="area" dr="T62:T64" r="T65" sId="1"/>
    <undo index="65535" exp="area" dr="S62:S64" r="S65" sId="1"/>
    <undo index="65535" exp="area" ref3D="1" dr="$H$1:$N$1048576" dn="Z_65B035E3_87FA_46C5_996E_864F2C8D0EBC_.wvu.Cols" sId="1"/>
    <rfmt sheetId="1" xfDxf="1" sqref="A62:XFD62" start="0" length="0"/>
    <rcc rId="0" sId="1" dxf="1">
      <nc r="A62">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62"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6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2">
        <f>S62/AE62*100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2">
        <f>T62+U62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62">
        <f>W62+X62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Y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6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62">
        <f>AC62+AD62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62">
        <f>S62+V62+Y62+AB62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2">
        <f>AE62+AF62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67" sId="1" ref="A62:XFD62" action="deleteRow">
    <undo index="65535" exp="area" dr="AK62:AK63" r="AK64" sId="1"/>
    <undo index="65535" exp="area" dr="AJ62:AJ63" r="AJ64" sId="1"/>
    <undo index="65535" exp="area" dr="AI62:AI63" r="AI64" sId="1"/>
    <undo index="65535" exp="area" dr="AG62:AG63" r="AG64" sId="1"/>
    <undo index="65535" exp="area" dr="AF62:AF63" r="AF64" sId="1"/>
    <undo index="65535" exp="area" dr="AE62:AE63" r="AE64" sId="1"/>
    <undo index="65535" exp="area" dr="AD62:AD63" r="AD64" sId="1"/>
    <undo index="65535" exp="area" dr="AC62:AC63" r="AC64" sId="1"/>
    <undo index="65535" exp="area" dr="AB62:AB63" r="AB64" sId="1"/>
    <undo index="65535" exp="area" dr="AA62:AA63" r="AA64" sId="1"/>
    <undo index="65535" exp="area" dr="Z62:Z63" r="Z64" sId="1"/>
    <undo index="65535" exp="area" dr="Y62:Y63" r="Y64" sId="1"/>
    <undo index="65535" exp="area" dr="X62:X63" r="X64" sId="1"/>
    <undo index="65535" exp="area" dr="W62:W63" r="W64" sId="1"/>
    <undo index="65535" exp="area" dr="V62:V63" r="V64" sId="1"/>
    <undo index="65535" exp="area" dr="U62:U63" r="U64" sId="1"/>
    <undo index="65535" exp="area" dr="T62:T63" r="T64" sId="1"/>
    <undo index="65535" exp="area" dr="S62:S63" r="S64" sId="1"/>
    <undo index="65535" exp="area" ref3D="1" dr="$H$1:$N$1048576" dn="Z_65B035E3_87FA_46C5_996E_864F2C8D0EBC_.wvu.Cols" sId="1"/>
    <rfmt sheetId="1" xfDxf="1" sqref="A62:XFD62" start="0" length="0"/>
    <rcc rId="0" sId="1" dxf="1">
      <nc r="A62">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62"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6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2">
        <f>S62/AE62*100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2">
        <f>T62+U62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62">
        <f>W62+X62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Y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6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62">
        <f>AC62+AD62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62">
        <f>S62+V62+Y62+AB62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2">
        <f>AE62+AF62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68" sId="1" ref="A62:XFD62" action="deleteRow">
    <undo index="65535" exp="area" dr="AK62" r="AK63" sId="1"/>
    <undo index="65535" exp="area" dr="AJ62" r="AJ63" sId="1"/>
    <undo index="65535" exp="area" dr="AI62" r="AI63" sId="1"/>
    <undo index="65535" exp="area" dr="AG62" r="AG63" sId="1"/>
    <undo index="65535" exp="area" dr="AF62" r="AF63" sId="1"/>
    <undo index="65535" exp="area" dr="AE62" r="AE63" sId="1"/>
    <undo index="65535" exp="area" dr="AD62" r="AD63" sId="1"/>
    <undo index="65535" exp="area" dr="AC62" r="AC63" sId="1"/>
    <undo index="65535" exp="area" dr="AB62" r="AB63" sId="1"/>
    <undo index="65535" exp="area" dr="AA62" r="AA63" sId="1"/>
    <undo index="65535" exp="area" dr="Z62" r="Z63" sId="1"/>
    <undo index="65535" exp="area" dr="Y62" r="Y63" sId="1"/>
    <undo index="65535" exp="area" dr="X62" r="X63" sId="1"/>
    <undo index="65535" exp="area" dr="W62" r="W63" sId="1"/>
    <undo index="65535" exp="area" dr="V62" r="V63" sId="1"/>
    <undo index="65535" exp="area" dr="U62" r="U63" sId="1"/>
    <undo index="65535" exp="area" dr="T62" r="T63" sId="1"/>
    <undo index="65535" exp="area" dr="S62" r="S63" sId="1"/>
    <undo index="65535" exp="area" ref3D="1" dr="$H$1:$N$1048576" dn="Z_65B035E3_87FA_46C5_996E_864F2C8D0EBC_.wvu.Cols" sId="1"/>
    <rfmt sheetId="1" xfDxf="1" sqref="A62:XFD62" start="0" length="0"/>
    <rfmt sheetId="1" sqref="A6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2"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6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2">
        <f>S62/AE62*100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2">
        <f>T62+U62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62">
        <f>W62+X62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Y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6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62">
        <f>AC62+AD62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62">
        <f>S62+V62+Y62+AB62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2">
        <f>AE62+AF62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69" sId="1" ref="A62:XFD62" action="deleteRow">
    <undo index="65535" exp="area" ref3D="1" dr="$H$1:$N$1048576" dn="Z_65B035E3_87FA_46C5_996E_864F2C8D0EBC_.wvu.Cols" sId="1"/>
    <rfmt sheetId="1" xfDxf="1" sqref="A62:XFD62" start="0" length="0"/>
    <rfmt sheetId="1" sqref="A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62" t="inlineStr">
        <is>
          <t>TOTAL COVASNA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6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62">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070" sId="1" ref="A62:XFD62" action="deleteRow">
    <undo index="65535" exp="area" ref3D="1" dr="$H$1:$N$1048576" dn="Z_65B035E3_87FA_46C5_996E_864F2C8D0EBC_.wvu.Cols" sId="1"/>
    <rfmt sheetId="1" xfDxf="1" sqref="A62:XFD62" start="0" length="0"/>
    <rfmt sheetId="1" sqref="A6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2"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6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6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62" t="inlineStr">
        <is>
          <t>DÂMBOVIȚA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62">
        <f>W62+X62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6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Y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6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62">
        <f>AC62+AD62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6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E6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F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6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6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71" sId="1" ref="A64:XFD64" action="deleteRow">
    <undo index="65535" exp="area" ref3D="1" dr="$H$1:$N$1048576" dn="Z_65B035E3_87FA_46C5_996E_864F2C8D0EBC_.wvu.Cols" sId="1"/>
    <rfmt sheetId="1" xfDxf="1" sqref="A64:XFD64" start="0" length="0"/>
    <rfmt sheetId="1" sqref="A64"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6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6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6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6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G64" start="0" length="0">
      <dxf>
        <font>
          <sz val="12"/>
          <color theme="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4"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6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6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6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4">
        <f>S64/AE64*100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4"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4">
        <f>T64+U64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64">
        <f>W64+X64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Y64">
        <f>Z64+AA64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64">
        <f>AC64+AD64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D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64">
        <f>S64+V64+Y64+AB64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6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4">
        <f>AE64+AF64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4" start="0" length="0">
      <dxf>
        <font>
          <sz val="12"/>
          <color theme="1"/>
          <name val="Calibri"/>
          <family val="2"/>
          <charset val="238"/>
          <scheme val="minor"/>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6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6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72" sId="1" ref="A64:XFD64" action="deleteRow">
    <undo index="65535" exp="area" ref3D="1" dr="$H$1:$N$1048576" dn="Z_65B035E3_87FA_46C5_996E_864F2C8D0EBC_.wvu.Cols" sId="1"/>
    <rfmt sheetId="1" xfDxf="1" sqref="A64:XFD64" start="0" length="0"/>
    <rfmt sheetId="1" sqref="A64"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6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6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6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6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G64" start="0" length="0">
      <dxf>
        <font>
          <sz val="12"/>
          <color theme="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4"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6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6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6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4">
        <f>S64/AE64*100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4"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4">
        <f>T64+U64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64">
        <f>W64+X64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Y64">
        <f>Z64+AA64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64">
        <f>AC64+AD64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D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64">
        <f>S64+V64+Y64+AB64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6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4">
        <f>AE64+AF64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4" start="0" length="0">
      <dxf>
        <font>
          <sz val="12"/>
          <color theme="1"/>
          <name val="Calibri"/>
          <family val="2"/>
          <charset val="238"/>
          <scheme val="minor"/>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6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6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73" sId="1" ref="A64:XFD64" action="deleteRow">
    <undo index="65535" exp="area" ref3D="1" dr="$H$1:$N$1048576" dn="Z_65B035E3_87FA_46C5_996E_864F2C8D0EBC_.wvu.Cols" sId="1"/>
    <rfmt sheetId="1" xfDxf="1" sqref="A64:XFD64" start="0" length="0"/>
    <rfmt sheetId="1" sqref="A64"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6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6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6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6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G64" start="0" length="0">
      <dxf>
        <font>
          <sz val="12"/>
          <color theme="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4"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6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6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6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4">
        <f>S64/AE64*100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4"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4">
        <f>T64+U64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64">
        <f>W64+X64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Y64">
        <f>Z64+AA64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64">
        <f>AC64+AD64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D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64">
        <f>S64+V64+Y64+AB64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6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4">
        <f>AE64+AF64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4" start="0" length="0">
      <dxf>
        <font>
          <sz val="12"/>
          <color theme="1"/>
          <name val="Calibri"/>
          <family val="2"/>
          <charset val="238"/>
          <scheme val="minor"/>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6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6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74" sId="1" ref="A64:XFD64" action="deleteRow">
    <undo index="65535" exp="area" dr="AK62:AK64" r="AK65" sId="1"/>
    <undo index="65535" exp="area" dr="AJ62:AJ64" r="AJ65" sId="1"/>
    <undo index="65535" exp="area" dr="AI62:AI64" r="AI65" sId="1"/>
    <undo index="65535" exp="area" dr="AG62:AG64" r="AG65" sId="1"/>
    <undo index="65535" exp="area" dr="AF62:AF64" r="AF65" sId="1"/>
    <undo index="65535" exp="area" dr="AE62:AE64" r="AE65" sId="1"/>
    <undo index="65535" exp="area" dr="AD62:AD64" r="AD65" sId="1"/>
    <undo index="65535" exp="area" dr="AC62:AC64" r="AC65" sId="1"/>
    <undo index="65535" exp="area" dr="AB62:AB64" r="AB65" sId="1"/>
    <undo index="65535" exp="area" dr="AA62:AA64" r="AA65" sId="1"/>
    <undo index="65535" exp="area" dr="Z62:Z64" r="Z65" sId="1"/>
    <undo index="65535" exp="area" dr="Y62:Y64" r="Y65" sId="1"/>
    <undo index="65535" exp="area" dr="X62:X64" r="X65" sId="1"/>
    <undo index="65535" exp="area" dr="W62:W64" r="W65" sId="1"/>
    <undo index="65535" exp="area" dr="V62:V64" r="V65" sId="1"/>
    <undo index="65535" exp="area" dr="U62:U64" r="U65" sId="1"/>
    <undo index="65535" exp="area" dr="T62:T64" r="T65" sId="1"/>
    <undo index="65535" exp="area" dr="S62:S64" r="S65" sId="1"/>
    <undo index="65535" exp="area" ref3D="1" dr="$H$1:$N$1048576" dn="Z_65B035E3_87FA_46C5_996E_864F2C8D0EBC_.wvu.Cols" sId="1"/>
    <rfmt sheetId="1" xfDxf="1" sqref="A64:XFD64" start="0" length="0"/>
    <rfmt sheetId="1" sqref="A6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6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6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4">
        <f>S64/AE64*100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4">
        <f>T64+U64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6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64">
        <f>W64+X64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Y64">
        <f>Z64+AA64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6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6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64">
        <f>AC64+AD64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6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6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64">
        <f>S64+V64+Y64+AB64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6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4">
        <f>AE64+AF64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75" sId="1" ref="A64:XFD64" action="deleteRow">
    <undo index="65535" exp="area" ref3D="1" dr="$H$1:$N$1048576" dn="Z_65B035E3_87FA_46C5_996E_864F2C8D0EBC_.wvu.Cols" sId="1"/>
    <rfmt sheetId="1" xfDxf="1" sqref="A64:XFD64" start="0" length="0"/>
    <rfmt sheetId="1" sqref="A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64" t="inlineStr">
        <is>
          <t>TOTAL DÂMBOVIȚA</t>
        </is>
      </nc>
      <ndxf>
        <font>
          <b/>
          <sz val="12"/>
          <color auto="1"/>
          <name val="Calibri"/>
          <family val="2"/>
          <charset val="238"/>
          <scheme val="minor"/>
        </font>
        <alignment horizontal="center" vertical="center" wrapText="1"/>
        <border outline="0">
          <top style="thin">
            <color indexed="64"/>
          </top>
          <bottom style="thin">
            <color indexed="64"/>
          </bottom>
        </border>
      </ndxf>
    </rcc>
    <rfmt sheetId="1" sqref="H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64">
        <f>SUM(S62:S63)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64">
        <f>SUM(T62:T63)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64">
        <f>SUM(U62:U63)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64">
        <f>SUM(V62:V63)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64">
        <f>SUM(W62:W63)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64">
        <f>SUM(X62:X63)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64">
        <f>SUM(Y62:Y63)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64">
        <f>SUM(Z62:Z63)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64">
        <f>SUM(AA62:AA63)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64">
        <f>SUM(AB62:AB63)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64">
        <f>SUM(AC62:AC63)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64">
        <f>SUM(AD62:AD63)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64">
        <f>SUM(AE62:AE63)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64">
        <f>SUM(AF62:AF63)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64">
        <f>SUM(AG62:AG63)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6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64">
        <f>SUM(AI62:AI63)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64">
        <f>SUM(AJ62:AJ63)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64">
        <f>SUM(AK62:AK63)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076" sId="1" ref="A64:XFD64" action="deleteRow">
    <undo index="65535" exp="area" ref3D="1" dr="$H$1:$N$1048576" dn="Z_65B035E3_87FA_46C5_996E_864F2C8D0EBC_.wvu.Cols" sId="1"/>
    <rfmt sheetId="1" xfDxf="1" sqref="A64:XFD64" start="0" length="0"/>
    <rfmt sheetId="1" sqref="A6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6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6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64" t="inlineStr">
        <is>
          <t>DOLJ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6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6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V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6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6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Y6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dxf>
    </rfmt>
    <rfmt sheetId="1" sqref="AA6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6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6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6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E6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F6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6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6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77" sId="1" ref="A70:XFD70" action="deleteRow">
    <undo index="65535" exp="area" ref3D="1" dr="$H$1:$N$1048576" dn="Z_65B035E3_87FA_46C5_996E_864F2C8D0EBC_.wvu.Cols" sId="1"/>
    <rfmt sheetId="1" xfDxf="1" sqref="A70:XFD70" start="0" length="0">
      <dxf>
        <numFmt numFmtId="4" formatCode="#,##0.00"/>
      </dxf>
    </rfmt>
    <rfmt sheetId="1" sqref="A7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0"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0"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7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7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0" start="0" length="0">
      <dxf>
        <font>
          <sz val="12"/>
          <color auto="1"/>
          <name val="Calibri"/>
          <family val="2"/>
          <charset val="238"/>
          <scheme val="minor"/>
        </font>
        <alignment horizontal="left" vertical="top" wrapText="1"/>
        <border outline="0">
          <left style="thin">
            <color indexed="64"/>
          </left>
          <right style="thin">
            <color indexed="64"/>
          </right>
          <top style="thin">
            <color indexed="64"/>
          </top>
          <bottom style="thin">
            <color indexed="64"/>
          </bottom>
        </border>
      </dxf>
    </rfmt>
    <rfmt sheetId="1" sqref="K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70">
        <f>S70/AE70*100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70">
        <f>T70+U70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70">
        <f>W70+X70</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W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70">
        <f>Z70+AA70</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Z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A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umFmtId="4">
      <nc r="AB70">
        <v>0</v>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AC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70">
        <f>S70+V70+Y70+AB70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G70">
        <f>AE70+AF70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7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J70" start="0" length="0">
      <dxf>
        <font>
          <sz val="12"/>
          <color auto="1"/>
          <name val="Calibri"/>
          <family val="2"/>
          <charset val="238"/>
          <scheme val="minor"/>
        </font>
        <alignment horizontal="right" vertical="center" wrapText="1"/>
        <border outline="0">
          <left style="thin">
            <color indexed="64"/>
          </left>
          <right style="thin">
            <color indexed="64"/>
          </right>
          <bottom style="thin">
            <color indexed="64"/>
          </bottom>
        </border>
      </dxf>
    </rfmt>
    <rfmt sheetId="1" sqref="AK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rc>
  <rrc rId="6078" sId="1" ref="A70:XFD70" action="deleteRow">
    <undo index="65535" exp="area" ref3D="1" dr="$H$1:$N$1048576" dn="Z_65B035E3_87FA_46C5_996E_864F2C8D0EBC_.wvu.Cols" sId="1"/>
    <rfmt sheetId="1" xfDxf="1" sqref="A70:XFD70" start="0" length="0">
      <dxf>
        <numFmt numFmtId="4" formatCode="#,##0.00"/>
      </dxf>
    </rfmt>
    <rfmt sheetId="1" sqref="A7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0"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0"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7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7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0" start="0" length="0">
      <dxf>
        <font>
          <sz val="12"/>
          <color auto="1"/>
          <name val="Calibri"/>
          <family val="2"/>
          <charset val="238"/>
          <scheme val="minor"/>
        </font>
        <alignment horizontal="left" vertical="top" wrapText="1"/>
        <border outline="0">
          <left style="thin">
            <color indexed="64"/>
          </left>
          <right style="thin">
            <color indexed="64"/>
          </right>
          <top style="thin">
            <color indexed="64"/>
          </top>
          <bottom style="thin">
            <color indexed="64"/>
          </bottom>
        </border>
      </dxf>
    </rfmt>
    <rfmt sheetId="1" sqref="K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70">
        <f>S70/AE70*100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70">
        <f>T70+U70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70">
        <f>W70+X70</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W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70">
        <f>Z70+AA70</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Z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A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umFmtId="4">
      <nc r="AB70">
        <v>0</v>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AC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70">
        <f>S70+V70+Y70+AB70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G70">
        <f>AE70+AF70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7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J70" start="0" length="0">
      <dxf>
        <font>
          <sz val="12"/>
          <color auto="1"/>
          <name val="Calibri"/>
          <family val="2"/>
          <charset val="238"/>
          <scheme val="minor"/>
        </font>
        <alignment horizontal="right" vertical="center" wrapText="1"/>
        <border outline="0">
          <left style="thin">
            <color indexed="64"/>
          </left>
          <right style="thin">
            <color indexed="64"/>
          </right>
          <bottom style="thin">
            <color indexed="64"/>
          </bottom>
        </border>
      </dxf>
    </rfmt>
    <rfmt sheetId="1" sqref="AK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rc>
  <rrc rId="6079" sId="1" ref="A70:XFD70" action="deleteRow">
    <undo index="65535" exp="area" ref3D="1" dr="$H$1:$N$1048576" dn="Z_65B035E3_87FA_46C5_996E_864F2C8D0EBC_.wvu.Cols" sId="1"/>
    <rfmt sheetId="1" xfDxf="1" sqref="A70:XFD70" start="0" length="0">
      <dxf>
        <numFmt numFmtId="4" formatCode="#,##0.00"/>
      </dxf>
    </rfmt>
    <rfmt sheetId="1" sqref="A7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0"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0"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7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7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0" start="0" length="0">
      <dxf>
        <font>
          <sz val="12"/>
          <color auto="1"/>
          <name val="Calibri"/>
          <family val="2"/>
          <charset val="238"/>
          <scheme val="minor"/>
        </font>
        <alignment horizontal="left" vertical="top" wrapText="1"/>
        <border outline="0">
          <left style="thin">
            <color indexed="64"/>
          </left>
          <right style="thin">
            <color indexed="64"/>
          </right>
          <top style="thin">
            <color indexed="64"/>
          </top>
          <bottom style="thin">
            <color indexed="64"/>
          </bottom>
        </border>
      </dxf>
    </rfmt>
    <rfmt sheetId="1" sqref="K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70">
        <f>S70/AE70*100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70">
        <f>T70+U70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70">
        <f>W70+X70</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W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70">
        <f>Z70+AA70</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Z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A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umFmtId="4">
      <nc r="AB70">
        <v>0</v>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AC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70">
        <f>S70+V70+Y70+AB70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G70">
        <f>AE70+AF70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7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J70" start="0" length="0">
      <dxf>
        <font>
          <sz val="12"/>
          <color auto="1"/>
          <name val="Calibri"/>
          <family val="2"/>
          <charset val="238"/>
          <scheme val="minor"/>
        </font>
        <alignment horizontal="right" vertical="center" wrapText="1"/>
        <border outline="0">
          <left style="thin">
            <color indexed="64"/>
          </left>
          <right style="thin">
            <color indexed="64"/>
          </right>
          <bottom style="thin">
            <color indexed="64"/>
          </bottom>
        </border>
      </dxf>
    </rfmt>
    <rfmt sheetId="1" sqref="AK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rc>
  <rrc rId="6080" sId="1" ref="A70:XFD70" action="deleteRow">
    <undo index="65535" exp="area" ref3D="1" dr="$H$1:$N$1048576" dn="Z_65B035E3_87FA_46C5_996E_864F2C8D0EBC_.wvu.Cols" sId="1"/>
    <rfmt sheetId="1" xfDxf="1" sqref="A70:XFD70" start="0" length="0">
      <dxf>
        <numFmt numFmtId="4" formatCode="#,##0.00"/>
      </dxf>
    </rfmt>
    <rfmt sheetId="1" sqref="A7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0"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0"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7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7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0" start="0" length="0">
      <dxf>
        <font>
          <sz val="12"/>
          <color auto="1"/>
          <name val="Calibri"/>
          <family val="2"/>
          <charset val="238"/>
          <scheme val="minor"/>
        </font>
        <alignment horizontal="left" vertical="top" wrapText="1"/>
        <border outline="0">
          <left style="thin">
            <color indexed="64"/>
          </left>
          <right style="thin">
            <color indexed="64"/>
          </right>
          <top style="thin">
            <color indexed="64"/>
          </top>
          <bottom style="thin">
            <color indexed="64"/>
          </bottom>
        </border>
      </dxf>
    </rfmt>
    <rfmt sheetId="1" sqref="K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70">
        <f>S70/AE70*100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70">
        <f>T70+U70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70">
        <f>W70+X70</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W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70">
        <f>Z70+AA70</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Z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A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umFmtId="4">
      <nc r="AB70">
        <v>0</v>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AC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70">
        <f>S70+V70+Y70+AB70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G70">
        <f>AE70+AF70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7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J70" start="0" length="0">
      <dxf>
        <font>
          <sz val="12"/>
          <color auto="1"/>
          <name val="Calibri"/>
          <family val="2"/>
          <charset val="238"/>
          <scheme val="minor"/>
        </font>
        <alignment horizontal="right" vertical="center" wrapText="1"/>
        <border outline="0">
          <left style="thin">
            <color indexed="64"/>
          </left>
          <right style="thin">
            <color indexed="64"/>
          </right>
          <bottom style="thin">
            <color indexed="64"/>
          </bottom>
        </border>
      </dxf>
    </rfmt>
    <rfmt sheetId="1" sqref="AK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rc>
  <rrc rId="6081" sId="1" ref="A70:XFD70" action="deleteRow">
    <undo index="65535" exp="area" ref3D="1" dr="$H$1:$N$1048576" dn="Z_65B035E3_87FA_46C5_996E_864F2C8D0EBC_.wvu.Cols" sId="1"/>
    <rfmt sheetId="1" xfDxf="1" sqref="A70:XFD70" start="0" length="0">
      <dxf>
        <numFmt numFmtId="4" formatCode="#,##0.00"/>
      </dxf>
    </rfmt>
    <rfmt sheetId="1" sqref="A7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0"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0"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7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7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0" start="0" length="0">
      <dxf>
        <font>
          <sz val="12"/>
          <color auto="1"/>
          <name val="Calibri"/>
          <family val="2"/>
          <charset val="238"/>
          <scheme val="minor"/>
        </font>
        <alignment horizontal="left" vertical="top" wrapText="1"/>
        <border outline="0">
          <left style="thin">
            <color indexed="64"/>
          </left>
          <right style="thin">
            <color indexed="64"/>
          </right>
          <top style="thin">
            <color indexed="64"/>
          </top>
          <bottom style="thin">
            <color indexed="64"/>
          </bottom>
        </border>
      </dxf>
    </rfmt>
    <rfmt sheetId="1" sqref="K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70">
        <f>S70/AE70*100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70">
        <f>T70+U70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70">
        <f>W70+X70</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W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70">
        <f>Z70+AA70</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Z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A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umFmtId="4">
      <nc r="AB70">
        <v>0</v>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AC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70">
        <f>S70+V70+Y70+AB70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G70">
        <f>AE70+AF70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7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J70" start="0" length="0">
      <dxf>
        <font>
          <sz val="12"/>
          <color auto="1"/>
          <name val="Calibri"/>
          <family val="2"/>
          <charset val="238"/>
          <scheme val="minor"/>
        </font>
        <alignment horizontal="right" vertical="center" wrapText="1"/>
        <border outline="0">
          <left style="thin">
            <color indexed="64"/>
          </left>
          <right style="thin">
            <color indexed="64"/>
          </right>
          <bottom style="thin">
            <color indexed="64"/>
          </bottom>
        </border>
      </dxf>
    </rfmt>
    <rfmt sheetId="1" sqref="AK70"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rc>
  <rrc rId="6082" sId="1" ref="A70:XFD70" action="deleteRow">
    <undo index="65535" exp="area" ref3D="1" dr="$H$1:$N$1048576" dn="Z_65B035E3_87FA_46C5_996E_864F2C8D0EBC_.wvu.Cols" sId="1"/>
    <rfmt sheetId="1" xfDxf="1" sqref="A70:XFD70" start="0" length="0"/>
    <rfmt sheetId="1" sqref="A7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70" t="inlineStr">
        <is>
          <t>TOTAL DOLJ</t>
        </is>
      </nc>
      <ndxf>
        <font>
          <b/>
          <sz val="12"/>
          <color auto="1"/>
          <name val="Calibri"/>
          <family val="2"/>
          <charset val="238"/>
          <scheme val="minor"/>
        </font>
        <alignment horizontal="center" vertical="center" wrapText="1"/>
        <border outline="0">
          <top style="thin">
            <color indexed="64"/>
          </top>
          <bottom style="thin">
            <color indexed="64"/>
          </bottom>
        </border>
      </ndxf>
    </rcc>
    <rfmt sheetId="1" sqref="H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70">
        <f>SUM(S64:S68)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70">
        <f>SUM(T64:T68)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70">
        <f>SUM(U64:U68)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70">
        <f>SUM(V64:V68)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70">
        <f>SUM(W64:W68)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70">
        <f>SUM(X64:X68)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70">
        <f>SUM(Y64:Y68)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70">
        <f>SUM(Z64:Z69)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70">
        <f>SUM(AA64:AA69)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70">
        <f>SUM(AB64:AB68)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70">
        <f>SUM(AC64:AC68)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70">
        <f>SUM(AD64:AD68)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70">
        <f>SUM(AE64:AE68)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70">
        <f>SUM(AF64:AF68)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70">
        <f>SUM(AG64:AG68)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7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70">
        <f>SUM(AI64:AI68)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70">
        <f>SUM(AJ64:AJ68)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70">
        <f>SUM(AK64:AK69)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083" sId="1" ref="A70:XFD70" action="deleteRow">
    <undo index="65535" exp="area" ref3D="1" dr="$H$1:$N$1048576" dn="Z_65B035E3_87FA_46C5_996E_864F2C8D0EBC_.wvu.Cols" sId="1"/>
    <rfmt sheetId="1" xfDxf="1" sqref="A70:XFD70" start="0" length="0"/>
    <rfmt sheetId="1" sqref="A7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0"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7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7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70" t="inlineStr">
        <is>
          <t>GALAȚI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7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7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7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7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7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7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7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7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7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7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7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7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E7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F7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7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7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7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7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7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84" sId="1" ref="A74:XFD74" action="deleteRow">
    <undo index="65535" exp="area" ref3D="1" dr="$H$1:$N$1048576" dn="Z_65B035E3_87FA_46C5_996E_864F2C8D0EBC_.wvu.Cols" sId="1"/>
    <rfmt sheetId="1" xfDxf="1" sqref="A74:XFD74" start="0" length="0"/>
    <rfmt sheetId="1" sqref="A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B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7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7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4"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7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4"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7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4"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7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7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74">
        <f>S74/AE74*100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O7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4"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R74" start="0" length="0">
      <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dxf>
    </rfmt>
    <rcc rId="0" sId="1" dxf="1">
      <nc r="S74">
        <f>T74+U74</f>
      </nc>
      <ndxf>
        <font>
          <sz val="12"/>
          <color auto="1"/>
          <name val="Calibri"/>
          <family val="2"/>
          <charset val="238"/>
          <scheme val="minor"/>
        </font>
        <numFmt numFmtId="164" formatCode="_-* #,##0.00\ _l_e_i_-;\-* #,##0.00\ _l_e_i_-;_-* &quot;-&quot;??\ _l_e_i_-;_-@_-"/>
        <alignment horizontal="center" vertical="center" wrapText="1"/>
        <border outline="0">
          <left style="thin">
            <color indexed="64"/>
          </left>
          <right style="thin">
            <color indexed="64"/>
          </right>
          <top style="thin">
            <color indexed="64"/>
          </top>
          <bottom style="thin">
            <color indexed="64"/>
          </bottom>
        </border>
      </ndxf>
    </rcc>
    <rfmt sheetId="1" sqref="T7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7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74">
        <f>W74+X74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7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X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cc rId="0" sId="1" dxf="1">
      <nc r="Y74">
        <f>Z74+AA74</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Z74" start="0" length="0">
      <dxf>
        <font>
          <sz val="12"/>
          <color theme="1"/>
          <name val="Calibri"/>
          <family val="2"/>
          <charset val="238"/>
          <scheme val="minor"/>
        </font>
        <numFmt numFmtId="164" formatCode="_-* #,##0.00\ _l_e_i_-;\-* #,##0.00\ _l_e_i_-;_-* &quot;-&quot;??\ _l_e_i_-;_-@_-"/>
        <alignment horizontal="center" vertical="center" wrapText="1"/>
        <border outline="0">
          <left style="thin">
            <color indexed="64"/>
          </left>
          <right style="thin">
            <color indexed="64"/>
          </right>
          <top style="thin">
            <color indexed="64"/>
          </top>
          <bottom style="thin">
            <color indexed="64"/>
          </bottom>
        </border>
      </dxf>
    </rfmt>
    <rfmt sheetId="1" sqref="AA7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74">
        <f>AC74+AD74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7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AD7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74">
        <f>S74+V74+Y74+AB74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cc rId="0" sId="1" s="1" dxf="1">
      <nc r="AG74">
        <f>AE74+AF74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AI7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7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7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85" sId="1" ref="A74:XFD74" action="deleteRow">
    <undo index="65535" exp="area" ref3D="1" dr="$H$1:$N$1048576" dn="Z_65B035E3_87FA_46C5_996E_864F2C8D0EBC_.wvu.Cols" sId="1"/>
    <rfmt sheetId="1" xfDxf="1" sqref="A74:XFD74" start="0" length="0"/>
    <rfmt sheetId="1" sqref="A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B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7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7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4"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7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4"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7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4"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7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7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74">
        <f>S74/AE74*100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O7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4"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R74" start="0" length="0">
      <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dxf>
    </rfmt>
    <rcc rId="0" sId="1" dxf="1">
      <nc r="S74">
        <f>T74+U74</f>
      </nc>
      <ndxf>
        <font>
          <sz val="12"/>
          <color auto="1"/>
          <name val="Calibri"/>
          <family val="2"/>
          <charset val="238"/>
          <scheme val="minor"/>
        </font>
        <numFmt numFmtId="164" formatCode="_-* #,##0.00\ _l_e_i_-;\-* #,##0.00\ _l_e_i_-;_-* &quot;-&quot;??\ _l_e_i_-;_-@_-"/>
        <alignment horizontal="center" vertical="center" wrapText="1"/>
        <border outline="0">
          <left style="thin">
            <color indexed="64"/>
          </left>
          <right style="thin">
            <color indexed="64"/>
          </right>
          <top style="thin">
            <color indexed="64"/>
          </top>
          <bottom style="thin">
            <color indexed="64"/>
          </bottom>
        </border>
      </ndxf>
    </rcc>
    <rfmt sheetId="1" sqref="T7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7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74">
        <f>W74+X74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7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X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cc rId="0" sId="1" dxf="1">
      <nc r="Y74">
        <f>Z74+AA74</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Z74" start="0" length="0">
      <dxf>
        <font>
          <sz val="12"/>
          <color theme="1"/>
          <name val="Calibri"/>
          <family val="2"/>
          <charset val="238"/>
          <scheme val="minor"/>
        </font>
        <numFmt numFmtId="164" formatCode="_-* #,##0.00\ _l_e_i_-;\-* #,##0.00\ _l_e_i_-;_-* &quot;-&quot;??\ _l_e_i_-;_-@_-"/>
        <alignment horizontal="center" vertical="center" wrapText="1"/>
        <border outline="0">
          <left style="thin">
            <color indexed="64"/>
          </left>
          <right style="thin">
            <color indexed="64"/>
          </right>
          <top style="thin">
            <color indexed="64"/>
          </top>
          <bottom style="thin">
            <color indexed="64"/>
          </bottom>
        </border>
      </dxf>
    </rfmt>
    <rfmt sheetId="1" sqref="AA7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74">
        <f>AC74+AD74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7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AD7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74">
        <f>S74+V74+Y74+AB74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cc rId="0" sId="1" s="1" dxf="1">
      <nc r="AG74">
        <f>AE74+AF74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AI7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7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7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86" sId="1" ref="A74:XFD74" action="deleteRow">
    <undo index="65535" exp="area" dr="AK70:AK74" r="AK75" sId="1"/>
    <undo index="65535" exp="area" dr="AJ70:AJ74" r="AJ75" sId="1"/>
    <undo index="65535" exp="area" dr="AI70:AI74" r="AI75" sId="1"/>
    <undo index="65535" exp="area" dr="AG70:AG74" r="AG75" sId="1"/>
    <undo index="65535" exp="area" dr="AF70:AF74" r="AF75" sId="1"/>
    <undo index="65535" exp="area" dr="AE70:AE74" r="AE75" sId="1"/>
    <undo index="65535" exp="area" dr="AD70:AD74" r="AD75" sId="1"/>
    <undo index="65535" exp="area" dr="AC70:AC74" r="AC75" sId="1"/>
    <undo index="65535" exp="area" dr="AB70:AB74" r="AB75" sId="1"/>
    <undo index="65535" exp="area" dr="AA70:AA74" r="AA75" sId="1"/>
    <undo index="65535" exp="area" dr="Z70:Z74" r="Z75" sId="1"/>
    <undo index="65535" exp="area" dr="Y70:Y74" r="Y75" sId="1"/>
    <undo index="65535" exp="area" dr="X70:X74" r="X75" sId="1"/>
    <undo index="65535" exp="area" dr="W70:W74" r="W75" sId="1"/>
    <undo index="65535" exp="area" dr="V70:V74" r="V75" sId="1"/>
    <undo index="65535" exp="area" dr="U70:U74" r="U75" sId="1"/>
    <undo index="65535" exp="area" dr="T70:T74" r="T75" sId="1"/>
    <undo index="65535" exp="area" dr="S70:S74" r="S75" sId="1"/>
    <undo index="65535" exp="area" ref3D="1" dr="$H$1:$N$1048576" dn="Z_65B035E3_87FA_46C5_996E_864F2C8D0EBC_.wvu.Cols" sId="1"/>
    <rfmt sheetId="1" xfDxf="1" sqref="A74:XFD74" start="0" length="0"/>
    <rfmt sheetId="1" sqref="A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B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7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7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4"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7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4"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7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4"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7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7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74">
        <f>S74/AE74*100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O7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4"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R74" start="0" length="0">
      <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dxf>
    </rfmt>
    <rcc rId="0" sId="1" dxf="1">
      <nc r="S74">
        <f>T74+U74</f>
      </nc>
      <ndxf>
        <font>
          <sz val="12"/>
          <color auto="1"/>
          <name val="Calibri"/>
          <family val="2"/>
          <charset val="238"/>
          <scheme val="minor"/>
        </font>
        <numFmt numFmtId="164" formatCode="_-* #,##0.00\ _l_e_i_-;\-* #,##0.00\ _l_e_i_-;_-* &quot;-&quot;??\ _l_e_i_-;_-@_-"/>
        <alignment horizontal="center" vertical="center" wrapText="1"/>
        <border outline="0">
          <left style="thin">
            <color indexed="64"/>
          </left>
          <right style="thin">
            <color indexed="64"/>
          </right>
          <top style="thin">
            <color indexed="64"/>
          </top>
          <bottom style="thin">
            <color indexed="64"/>
          </bottom>
        </border>
      </ndxf>
    </rcc>
    <rfmt sheetId="1" sqref="T7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7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74">
        <f>W74+X74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7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X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cc rId="0" sId="1" dxf="1">
      <nc r="Y74">
        <f>Z74+AA74</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Z74" start="0" length="0">
      <dxf>
        <font>
          <sz val="12"/>
          <color theme="1"/>
          <name val="Calibri"/>
          <family val="2"/>
          <charset val="238"/>
          <scheme val="minor"/>
        </font>
        <numFmt numFmtId="164" formatCode="_-* #,##0.00\ _l_e_i_-;\-* #,##0.00\ _l_e_i_-;_-* &quot;-&quot;??\ _l_e_i_-;_-@_-"/>
        <alignment horizontal="center" vertical="center" wrapText="1"/>
        <border outline="0">
          <left style="thin">
            <color indexed="64"/>
          </left>
          <right style="thin">
            <color indexed="64"/>
          </right>
          <top style="thin">
            <color indexed="64"/>
          </top>
          <bottom style="thin">
            <color indexed="64"/>
          </bottom>
        </border>
      </dxf>
    </rfmt>
    <rfmt sheetId="1" sqref="AA7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74">
        <f>AC74+AD74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7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AD7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74">
        <f>S74+V74+Y74+AB74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cc rId="0" sId="1" s="1" dxf="1">
      <nc r="AG74">
        <f>AE74+AF74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AI7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7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7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087" sId="1" ref="A74:XFD74" action="deleteRow">
    <undo index="65535" exp="area" ref3D="1" dr="$H$1:$N$1048576" dn="Z_65B035E3_87FA_46C5_996E_864F2C8D0EBC_.wvu.Cols" sId="1"/>
    <rfmt sheetId="1" xfDxf="1" sqref="A74:XFD74" start="0" length="0"/>
    <rfmt sheetId="1" sqref="A7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74" t="inlineStr">
        <is>
          <t>TOTAL GALAȚI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7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7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J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L7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74">
        <f>SUM(S70:S73)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74">
        <f>SUM(T70:T73)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74">
        <f>SUM(U70:U73)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74">
        <f>SUM(V70:V73)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74">
        <f>SUM(W70:W73)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74">
        <f>SUM(X70:X73)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74">
        <f>SUM(Y70:Y73)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74">
        <f>SUM(Z70:Z73)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74">
        <f>SUM(AA70:AA73)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74">
        <f>SUM(AB70:AB73)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74">
        <f>SUM(AC70:AC73)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74">
        <f>SUM(AD70:AD73)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74">
        <f>SUM(AE70:AE73)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74">
        <f>SUM(AF70:AF73)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74">
        <f>SUM(AG70:AG73)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7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74">
        <f>SUM(AI70:AI73)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74">
        <f>SUM(AJ70:AJ73)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74">
        <f>SUM(AK70:AK73)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088" sId="1" ref="A74:XFD74" action="deleteRow">
    <undo index="65535" exp="area" ref3D="1" dr="$H$1:$N$1048576" dn="Z_65B035E3_87FA_46C5_996E_864F2C8D0EBC_.wvu.Cols" sId="1"/>
    <rfmt sheetId="1" xfDxf="1" sqref="A74:XFD74" start="0" length="0"/>
    <rfmt sheetId="1" sqref="A7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7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7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74" t="inlineStr">
        <is>
          <t>GIURGIU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7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7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7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7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7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7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7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7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7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7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7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7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74">
        <f>S74+V74+Y74+AB74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7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74">
        <f>AE74+AF74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7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7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7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89" sId="1" ref="A78:XFD78" action="deleteRow">
    <undo index="65535" exp="area" ref3D="1" dr="$H$1:$N$1048576" dn="Z_65B035E3_87FA_46C5_996E_864F2C8D0EBC_.wvu.Cols" sId="1"/>
    <rfmt sheetId="1" xfDxf="1" sqref="A78:XFD78" start="0" length="0"/>
    <rfmt sheetId="1" sqref="A7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8"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78"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78" start="0" length="0">
      <dxf>
        <font>
          <sz val="12"/>
          <color theme="1"/>
          <name val="Calibri"/>
          <family val="2"/>
          <charset val="238"/>
          <scheme val="minor"/>
        </font>
        <border outline="0">
          <left style="thin">
            <color indexed="64"/>
          </left>
          <right style="thin">
            <color indexed="64"/>
          </right>
          <top style="thin">
            <color indexed="64"/>
          </top>
          <bottom style="thin">
            <color indexed="64"/>
          </bottom>
        </border>
      </dxf>
    </rfmt>
    <rfmt sheetId="1" sqref="G78"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H78" start="0" length="0">
      <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dxf>
    </rfmt>
    <rfmt sheetId="1" sqref="I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7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7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78">
        <f>S78/AE78*100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8"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T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V78" start="0" length="0">
      <dxf>
        <font>
          <sz val="12"/>
          <color auto="1"/>
          <name val="Calibri"/>
          <family val="2"/>
          <charset val="238"/>
          <scheme val="minor"/>
        </font>
        <border outline="0">
          <left style="thin">
            <color indexed="64"/>
          </left>
          <right style="thin">
            <color indexed="64"/>
          </right>
          <top style="thin">
            <color indexed="64"/>
          </top>
          <bottom style="thin">
            <color indexed="64"/>
          </bottom>
        </border>
      </dxf>
    </rfmt>
    <rfmt sheetId="1" sqref="W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Y78">
        <f>Z78+AA78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7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7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B78">
        <f>AC78+AD78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D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78">
        <f>S78+V78+Y78+AB78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7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78">
        <f>AE78+AF78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78"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rc>
  <rrc rId="6090" sId="1" ref="A78:XFD78" action="deleteRow">
    <undo index="65535" exp="area" ref3D="1" dr="$H$1:$N$1048576" dn="Z_65B035E3_87FA_46C5_996E_864F2C8D0EBC_.wvu.Cols" sId="1"/>
    <rfmt sheetId="1" xfDxf="1" sqref="A78:XFD78" start="0" length="0"/>
    <rfmt sheetId="1" sqref="A7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8"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78"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78" start="0" length="0">
      <dxf>
        <font>
          <sz val="12"/>
          <color theme="1"/>
          <name val="Calibri"/>
          <family val="2"/>
          <charset val="238"/>
          <scheme val="minor"/>
        </font>
        <border outline="0">
          <left style="thin">
            <color indexed="64"/>
          </left>
          <right style="thin">
            <color indexed="64"/>
          </right>
          <top style="thin">
            <color indexed="64"/>
          </top>
          <bottom style="thin">
            <color indexed="64"/>
          </bottom>
        </border>
      </dxf>
    </rfmt>
    <rfmt sheetId="1" sqref="G78"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H78" start="0" length="0">
      <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dxf>
    </rfmt>
    <rfmt sheetId="1" sqref="I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7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7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78">
        <f>S78/AE78*100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8"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T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V78" start="0" length="0">
      <dxf>
        <font>
          <sz val="12"/>
          <color auto="1"/>
          <name val="Calibri"/>
          <family val="2"/>
          <charset val="238"/>
          <scheme val="minor"/>
        </font>
        <border outline="0">
          <left style="thin">
            <color indexed="64"/>
          </left>
          <right style="thin">
            <color indexed="64"/>
          </right>
          <top style="thin">
            <color indexed="64"/>
          </top>
          <bottom style="thin">
            <color indexed="64"/>
          </bottom>
        </border>
      </dxf>
    </rfmt>
    <rfmt sheetId="1" sqref="W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Y78">
        <f>Z78+AA78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7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7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B78">
        <f>AC78+AD78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D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78">
        <f>S78+V78+Y78+AB78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7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78">
        <f>AE78+AF78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78"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rc>
  <rrc rId="6091" sId="1" ref="A78:XFD78" action="deleteRow">
    <undo index="65535" exp="area" ref3D="1" dr="$H$1:$N$1048576" dn="Z_65B035E3_87FA_46C5_996E_864F2C8D0EBC_.wvu.Cols" sId="1"/>
    <rfmt sheetId="1" xfDxf="1" sqref="A78:XFD78" start="0" length="0"/>
    <rfmt sheetId="1" sqref="A7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78" t="inlineStr">
        <is>
          <t>TOTAL GIURGIU</t>
        </is>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H7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7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J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L7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78">
        <f>SUM(S74:S76)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78">
        <f>SUM(T74:T76)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78">
        <f>SUM(U74:U77)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78">
        <f>SUM(V74:V76)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78">
        <f>SUM(W74:W77)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78">
        <f>SUM(X74:X76)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78">
        <f>SUM(Y74:Y76)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78">
        <f>SUM(Z74:Z77)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78">
        <f>SUM(AA74:AA77)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78">
        <f>SUM(AB74:AB76)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78">
        <f>SUM(AC74:AC76)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78">
        <f>SUM(AD74:AD76)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78">
        <f>SUM(AE74:AE76)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78">
        <f>SUM(AF74:AF76)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78">
        <f>SUM(AG74:AG76)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7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78">
        <f>SUM(AI74:AI76)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78">
        <f>SUM(AJ74:AJ76)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78">
        <f>SUM(AK74:AK76)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092" sId="1" ref="A78:XFD78" action="deleteRow">
    <undo index="65535" exp="area" ref3D="1" dr="$H$1:$N$1048576" dn="Z_65B035E3_87FA_46C5_996E_864F2C8D0EBC_.wvu.Cols" sId="1"/>
    <rfmt sheetId="1" xfDxf="1" sqref="A78:XFD78" start="0" length="0"/>
    <rfmt sheetId="1" sqref="A7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8"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7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7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78" t="inlineStr">
        <is>
          <t>GORJ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7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7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7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7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7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7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7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7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7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7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7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7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7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7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7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7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7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7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7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93" sId="1" ref="A85:XFD85" action="deleteRow">
    <undo index="65535" exp="area" ref3D="1" dr="$H$1:$N$1048576" dn="Z_65B035E3_87FA_46C5_996E_864F2C8D0EBC_.wvu.Cols" sId="1"/>
    <rfmt sheetId="1" xfDxf="1" sqref="A85:XFD85" start="0" length="0"/>
    <rfmt sheetId="1" sqref="A8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8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8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8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8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8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8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85">
        <f>S85/AE85*100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8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85">
        <f>T85+U85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85"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85"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85">
        <f>W85+X85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8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8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Y85">
        <f>Z85+AA85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Z8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A8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85">
        <f>AC85+AD85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8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D8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85">
        <f>S85+V85+Y85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8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85">
        <f>AE85+AF85+AB85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8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5" start="0" length="0">
      <dxf>
        <font>
          <sz val="12"/>
          <color auto="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8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8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rc>
  <rrc rId="6094" sId="1" ref="A85:XFD85" action="deleteRow">
    <undo index="65535" exp="area" ref3D="1" dr="$H$1:$N$1048576" dn="Z_65B035E3_87FA_46C5_996E_864F2C8D0EBC_.wvu.Cols" sId="1"/>
    <rfmt sheetId="1" xfDxf="1" sqref="A85:XFD85" start="0" length="0"/>
    <rfmt sheetId="1" sqref="A8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8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8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8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8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8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8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85">
        <f>S85/AE85*100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8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85">
        <f>T85+U85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85"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85"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85">
        <f>W85+X85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8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8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Y85">
        <f>Z85+AA85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Z8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A8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85">
        <f>AC85+AD85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8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D8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E85">
        <f>S85+V85+Y85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8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85">
        <f>AE85+AF85+AB85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8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5" start="0" length="0">
      <dxf>
        <font>
          <sz val="12"/>
          <color auto="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8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8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rc>
  <rrc rId="6095" sId="1" ref="A85:XFD85" action="deleteRow">
    <undo index="65535" exp="area" ref3D="1" dr="$H$1:$N$1048576" dn="Z_65B035E3_87FA_46C5_996E_864F2C8D0EBC_.wvu.Cols" sId="1"/>
    <rfmt sheetId="1" xfDxf="1" sqref="A85:XFD85" start="0" length="0"/>
    <rfmt sheetId="1" sqref="A8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85" t="inlineStr">
        <is>
          <t>TOTAL GORJ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8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85">
        <f>SUM(S78:S82)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85">
        <f>SUM(T78:T84)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85">
        <f>SUM(U78:U83)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85">
        <f>SUM(V78:V82)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85">
        <f>SUM(W78:W84)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85">
        <f>SUM(X78:X83)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85">
        <f>SUM(Y78:Y82)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85">
        <f>SUM(Z78:Z84)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85">
        <f>SUM(AA78:AA83)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85">
        <f>SUM(AB78:AB82)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85">
        <f>SUM(AC78:AC82)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85">
        <f>SUM(AD78:AD82)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85">
        <f>SUM(AE78:AE82)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85">
        <f>SUM(AF78:AF83)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85">
        <f>SUM(AG78:AG82)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8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85">
        <f>SUM(AI78:AI82)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85">
        <f>SUM(AJ78:AJ82)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85">
        <f>SUM(AK78:AK82)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096" sId="1" ref="A85:XFD85" action="deleteRow">
    <undo index="65535" exp="area" ref3D="1" dr="$H$1:$N$1048576" dn="Z_65B035E3_87FA_46C5_996E_864F2C8D0EBC_.wvu.Cols" sId="1"/>
    <rfmt sheetId="1" xfDxf="1" sqref="A85:XFD85" start="0" length="0"/>
    <rfmt sheetId="1" sqref="A8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8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8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85" t="inlineStr">
        <is>
          <t>HARGHITA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8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8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rder>
      </dxf>
    </rfmt>
    <rfmt sheetId="1" sqref="U8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8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8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8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8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8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8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8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8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8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8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8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8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8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8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8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97" sId="1" ref="A87:XFD87" action="deleteRow">
    <undo index="65535" exp="area" ref3D="1" dr="$H$1:$N$1048576" dn="Z_65B035E3_87FA_46C5_996E_864F2C8D0EBC_.wvu.Cols" sId="1"/>
    <rfmt sheetId="1" xfDxf="1" sqref="A87:XFD87" start="0" length="0"/>
    <rcc rId="0" sId="1" dxf="1">
      <nc r="A87">
        <v>3</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87"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8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87">
        <f>S87/AE87*100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8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Y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8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8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8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98" sId="1" ref="A87:XFD87" action="deleteRow">
    <undo index="65535" exp="area" ref3D="1" dr="$H$1:$N$1048576" dn="Z_65B035E3_87FA_46C5_996E_864F2C8D0EBC_.wvu.Cols" sId="1"/>
    <rfmt sheetId="1" xfDxf="1" sqref="A87:XFD87" start="0" length="0"/>
    <rfmt sheetId="1" sqref="A8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7"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8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87">
        <f>S87/AE87*100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8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Y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8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8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8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099" sId="1" ref="A87:XFD87" action="deleteRow">
    <undo index="65535" exp="area" ref3D="1" dr="$H$1:$N$1048576" dn="Z_65B035E3_87FA_46C5_996E_864F2C8D0EBC_.wvu.Cols" sId="1"/>
    <rfmt sheetId="1" xfDxf="1" sqref="A87:XFD87" start="0" length="0"/>
    <rfmt sheetId="1" sqref="A8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7"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8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87">
        <f>S87/AE87*100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8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Y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8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8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8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00" sId="1" ref="A87:XFD87" action="deleteRow">
    <undo index="65535" exp="area" dr="AK85:AK87" r="AK88" sId="1"/>
    <undo index="65535" exp="area" dr="AJ85:AJ87" r="AJ88" sId="1"/>
    <undo index="65535" exp="area" dr="AI85:AI87" r="AI88" sId="1"/>
    <undo index="65535" exp="area" dr="AG85:AG87" r="AG88" sId="1"/>
    <undo index="65535" exp="area" dr="AF85:AF87" r="AF88" sId="1"/>
    <undo index="65535" exp="area" dr="AE85:AE87" r="AE88" sId="1"/>
    <undo index="65535" exp="area" dr="AD85:AD87" r="AD88" sId="1"/>
    <undo index="65535" exp="area" dr="AC85:AC87" r="AC88" sId="1"/>
    <undo index="65535" exp="area" dr="AB85:AB87" r="AB88" sId="1"/>
    <undo index="65535" exp="area" dr="AA85:AA87" r="AA88" sId="1"/>
    <undo index="65535" exp="area" dr="Z85:Z87" r="Z88" sId="1"/>
    <undo index="65535" exp="area" dr="Y85:Y87" r="Y88" sId="1"/>
    <undo index="65535" exp="area" dr="X85:X87" r="X88" sId="1"/>
    <undo index="65535" exp="area" dr="W85:W87" r="W88" sId="1"/>
    <undo index="65535" exp="area" dr="V85:V87" r="V88" sId="1"/>
    <undo index="65535" exp="area" dr="U85:U87" r="U88" sId="1"/>
    <undo index="65535" exp="area" dr="T85:T87" r="T88" sId="1"/>
    <undo index="65535" exp="area" dr="S85:S87" r="S88" sId="1"/>
    <undo index="65535" exp="area" ref3D="1" dr="$H$1:$N$1048576" dn="Z_65B035E3_87FA_46C5_996E_864F2C8D0EBC_.wvu.Cols" sId="1"/>
    <rfmt sheetId="1" xfDxf="1" sqref="A87:XFD87" start="0" length="0"/>
    <rfmt sheetId="1" sqref="A8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7"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8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87">
        <f>S87/AE87*100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8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Y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8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8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8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01" sId="1" ref="A87:XFD87" action="deleteRow">
    <undo index="65535" exp="area" ref3D="1" dr="$H$1:$N$1048576" dn="Z_65B035E3_87FA_46C5_996E_864F2C8D0EBC_.wvu.Cols" sId="1"/>
    <rfmt sheetId="1" xfDxf="1" sqref="A87:XFD87" start="0" length="0"/>
    <rfmt sheetId="1" sqref="A8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87" t="inlineStr">
        <is>
          <t>TOTAL HARGHITA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8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87">
        <f>SUM(S85:S86)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87">
        <f>SUM(T85:T86)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87">
        <f>SUM(U85:U86)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87">
        <f>SUM(V85:V86)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87">
        <f>SUM(W85:W86)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87">
        <f>SUM(X85:X86)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87">
        <f>SUM(Y85:Y86)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87">
        <f>SUM(Z85:Z86)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87">
        <f>SUM(AA85:AA86)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87">
        <f>SUM(AB85:AB86)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87">
        <f>SUM(AC85:AC86)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87">
        <f>SUM(AD85:AD86)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87">
        <f>SUM(AE85:AE86)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87">
        <f>SUM(AF85:AF86)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87">
        <f>SUM(AG85:AG86)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8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87">
        <f>SUM(AI85:AI86)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87">
        <f>SUM(AJ85:AJ86)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87">
        <f>SUM(AK85:AK86)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02" sId="1" ref="A87:XFD87" action="deleteRow">
    <undo index="65535" exp="area" ref3D="1" dr="$H$1:$N$1048576" dn="Z_65B035E3_87FA_46C5_996E_864F2C8D0EBC_.wvu.Cols" sId="1"/>
    <rfmt sheetId="1" xfDxf="1" sqref="A87:XFD87" start="0" length="0"/>
    <rfmt sheetId="1" sqref="A8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7"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8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87" t="inlineStr">
        <is>
          <t>HUNEDOARA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87">
        <f>W87+X87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8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8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8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03" sId="1" ref="A91:XFD91" action="deleteRow">
    <undo index="65535" exp="area" ref3D="1" dr="$H$1:$N$1048576" dn="Z_65B035E3_87FA_46C5_996E_864F2C8D0EBC_.wvu.Cols" sId="1"/>
    <rfmt sheetId="1" xfDxf="1" sqref="A91:XFD91" start="0" length="0"/>
    <rfmt sheetId="1" sqref="A9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1"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1">
        <f>S91/AE91*100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9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Y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9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04" sId="1" ref="A91:XFD91" action="deleteRow">
    <undo index="65535" exp="area" ref3D="1" dr="$H$1:$N$1048576" dn="Z_65B035E3_87FA_46C5_996E_864F2C8D0EBC_.wvu.Cols" sId="1"/>
    <rfmt sheetId="1" xfDxf="1" sqref="A91:XFD91" start="0" length="0"/>
    <rfmt sheetId="1" sqref="A9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1"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1">
        <f>S91/AE91*100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9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Y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9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05" sId="1" ref="A91:XFD91" action="deleteRow">
    <undo index="65535" exp="area" ref3D="1" dr="$H$1:$N$1048576" dn="Z_65B035E3_87FA_46C5_996E_864F2C8D0EBC_.wvu.Cols" sId="1"/>
    <rfmt sheetId="1" xfDxf="1" sqref="A91:XFD91" start="0" length="0"/>
    <rfmt sheetId="1" sqref="A9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1"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1">
        <f>S91/AE91*100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9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Y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9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06" sId="1" ref="A91:XFD91" action="deleteRow">
    <undo index="65535" exp="area" ref3D="1" dr="$H$1:$N$1048576" dn="Z_65B035E3_87FA_46C5_996E_864F2C8D0EBC_.wvu.Cols" sId="1"/>
    <rfmt sheetId="1" xfDxf="1" sqref="A91:XFD91" start="0" length="0"/>
    <rfmt sheetId="1" sqref="A9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91" t="inlineStr">
        <is>
          <t>TOTAL HUNEDOARA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91">
        <f>SUM(S87:S89)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91">
        <f>SUM(T87:T89)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91">
        <f>SUM(U87:U89)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91">
        <f>SUM(V87:V89)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91">
        <f>SUM(W87:W89)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91">
        <f>SUM(X87:X89)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91">
        <f>SUM(Y87:Y89)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91">
        <f>SUM(Z87:Z89)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91">
        <f>SUM(AA87:AA89)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91">
        <f>SUM(AB87:AB89)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91">
        <f>SUM(AC87:AC90)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91">
        <f>SUM(AD87:AD90)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91">
        <f>SUM(AE87:AE89)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91">
        <f>SUM(AF87:AF89)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91">
        <f>SUM(AG87:AG89)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9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91">
        <f>SUM(AI87:AI89)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91">
        <f>SUM(AJ87:AJ89)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91">
        <f>SUM(AK87:AK89)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07" sId="1" ref="A91:XFD91" action="deleteRow">
    <undo index="65535" exp="area" ref3D="1" dr="$H$1:$N$1048576" dn="Z_65B035E3_87FA_46C5_996E_864F2C8D0EBC_.wvu.Cols" sId="1"/>
    <rfmt sheetId="1" xfDxf="1" sqref="A91:XFD91" start="0" length="0"/>
    <rfmt sheetId="1" sqref="A9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1"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91" t="inlineStr">
        <is>
          <t>IALOMIȚA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9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08" sId="1" ref="A95:XFD95" action="deleteRow">
    <undo index="65535" exp="area" ref3D="1" dr="$H$1:$N$1048576" dn="Z_65B035E3_87FA_46C5_996E_864F2C8D0EBC_.wvu.Cols" sId="1"/>
    <rfmt sheetId="1" xfDxf="1" sqref="A95:XFD95" start="0" length="0"/>
    <rfmt sheetId="1" sqref="A9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5">
        <f>S95/AE95*100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9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Y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09" sId="1" ref="A95:XFD95" action="deleteRow">
    <undo index="65535" exp="area" ref3D="1" dr="$H$1:$N$1048576" dn="Z_65B035E3_87FA_46C5_996E_864F2C8D0EBC_.wvu.Cols" sId="1"/>
    <rfmt sheetId="1" xfDxf="1" sqref="A95:XFD95" start="0" length="0"/>
    <rfmt sheetId="1" sqref="A9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5">
        <f>S95/AE95*100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9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Y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10" sId="1" ref="A95:XFD95" action="deleteRow">
    <undo index="65535" exp="area" ref3D="1" dr="$H$1:$N$1048576" dn="Z_65B035E3_87FA_46C5_996E_864F2C8D0EBC_.wvu.Cols" sId="1"/>
    <rfmt sheetId="1" xfDxf="1" sqref="A95:XFD95" start="0" length="0"/>
    <rfmt sheetId="1" sqref="A9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5">
        <f>S95/AE95*100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9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Y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11" sId="1" ref="A95:XFD95" action="deleteRow">
    <undo index="65535" exp="area" ref3D="1" dr="$H$1:$N$1048576" dn="Z_65B035E3_87FA_46C5_996E_864F2C8D0EBC_.wvu.Cols" sId="1"/>
    <rfmt sheetId="1" xfDxf="1" sqref="A95:XFD95" start="0" length="0"/>
    <rfmt sheetId="1" sqref="A9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5">
        <f>S95/AE95*100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9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Y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12" sId="1" ref="A95:XFD95" action="deleteRow">
    <undo index="65535" exp="area" ref3D="1" dr="$H$1:$N$1048576" dn="Z_65B035E3_87FA_46C5_996E_864F2C8D0EBC_.wvu.Cols" sId="1"/>
    <rfmt sheetId="1" xfDxf="1" sqref="A95:XFD95" start="0" length="0"/>
    <rfmt sheetId="1" sqref="A9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95" t="inlineStr">
        <is>
          <t>TOTAL IALOMIȚA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95">
        <f>SUM(S91:S93)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95">
        <f>SUM(T91:T93)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95">
        <f>SUM(U91:U93)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95">
        <f>SUM(V91:V93)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95">
        <f>SUM(W91:W93)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95">
        <f>SUM(X91:X93)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95">
        <f>SUM(Y91:Y93)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95">
        <f>SUM(Z91:Z93)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95">
        <f>SUM(AA91:AA93)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95">
        <f>SUM(AB91:AB93)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95">
        <f>SUM(AC91:AC93)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95">
        <f>SUM(AD91:AD93)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95">
        <f>SUM(AE91:AE93)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95">
        <f>SUM(AF91:AF93)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95">
        <f>SUM(AG91:AG93)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95">
        <f>SUM(AI91:AI93)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95">
        <f>SUM(AJ91:AJ93)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95">
        <f>SUM(AK91:AK93)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13" sId="1" ref="A95:XFD95" action="deleteRow">
    <undo index="65535" exp="area" ref3D="1" dr="$H$1:$N$1048576" dn="Z_65B035E3_87FA_46C5_996E_864F2C8D0EBC_.wvu.Cols" sId="1"/>
    <rfmt sheetId="1" xfDxf="1" sqref="A95:XFD95" start="0" length="0"/>
    <rfmt sheetId="1" sqref="A95"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5"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5" start="0" length="0">
      <dxf>
        <font>
          <b/>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9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5">
        <f>S95/AE95*100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95" t="inlineStr">
        <is>
          <t>IAȘI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9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rc>
  <rrc rId="6114" sId="1" ref="A95:XFD95" action="deleteRow">
    <undo index="65535" exp="area" dr="AK95:AK97" r="AK98" sId="1"/>
    <undo index="65535" exp="area" dr="AJ95:AJ97" r="AJ98" sId="1"/>
    <undo index="65535" exp="area" dr="AI95:AI97" r="AI98" sId="1"/>
    <undo index="65535" exp="area" dr="AG95:AG97" r="AG98" sId="1"/>
    <undo index="65535" exp="area" dr="AF95:AF97" r="AF98" sId="1"/>
    <undo index="65535" exp="area" dr="AE95:AE97" r="AE98" sId="1"/>
    <undo index="65535" exp="area" dr="AD95:AD97" r="AD98" sId="1"/>
    <undo index="65535" exp="area" dr="AC95:AC97" r="AC98" sId="1"/>
    <undo index="65535" exp="area" dr="AB95:AB97" r="AB98" sId="1"/>
    <undo index="65535" exp="area" dr="AA95:AA97" r="AA98" sId="1"/>
    <undo index="65535" exp="area" dr="Z95:Z97" r="Z98" sId="1"/>
    <undo index="65535" exp="area" dr="Y95:Y97" r="Y98" sId="1"/>
    <undo index="65535" exp="area" dr="X95:X97" r="X98" sId="1"/>
    <undo index="65535" exp="area" dr="W95:W97" r="W98" sId="1"/>
    <undo index="65535" exp="area" dr="V95:V97" r="V98" sId="1"/>
    <undo index="65535" exp="area" dr="U95:U97" r="U98" sId="1"/>
    <undo index="65535" exp="area" dr="T95:T97" r="T98" sId="1"/>
    <undo index="65535" exp="area" dr="S95:S97" r="S98" sId="1"/>
    <undo index="65535" exp="area" ref3D="1" dr="$H$1:$N$1048576" dn="Z_65B035E3_87FA_46C5_996E_864F2C8D0EBC_.wvu.Cols" sId="1"/>
    <rfmt sheetId="1" xfDxf="1" sqref="A95:XFD95" start="0" length="0"/>
    <rcc rId="0" sId="1" dxf="1">
      <nc r="A95">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9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5" start="0" length="0">
      <dxf>
        <font>
          <b/>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9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5">
        <f>S95/AE95*100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95">
        <f>T95+U95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95">
        <f>W95+X95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95">
        <f>AC95+AD95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95">
        <f>S95+V95+Y95+AB95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95">
        <f>AE95+AF95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9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rc>
  <rrc rId="6115" sId="1" ref="A95:XFD95" action="deleteRow">
    <undo index="65535" exp="area" dr="AK95:AK96" r="AK97" sId="1"/>
    <undo index="65535" exp="area" dr="AJ95:AJ96" r="AJ97" sId="1"/>
    <undo index="65535" exp="area" dr="AI95:AI96" r="AI97" sId="1"/>
    <undo index="65535" exp="area" dr="AG95:AG96" r="AG97" sId="1"/>
    <undo index="65535" exp="area" dr="AF95:AF96" r="AF97" sId="1"/>
    <undo index="65535" exp="area" dr="AE95:AE96" r="AE97" sId="1"/>
    <undo index="65535" exp="area" dr="AD95:AD96" r="AD97" sId="1"/>
    <undo index="65535" exp="area" dr="AC95:AC96" r="AC97" sId="1"/>
    <undo index="65535" exp="area" dr="AB95:AB96" r="AB97" sId="1"/>
    <undo index="65535" exp="area" dr="AA95:AA96" r="AA97" sId="1"/>
    <undo index="65535" exp="area" dr="Z95:Z96" r="Z97" sId="1"/>
    <undo index="65535" exp="area" dr="Y95:Y96" r="Y97" sId="1"/>
    <undo index="65535" exp="area" dr="X95:X96" r="X97" sId="1"/>
    <undo index="65535" exp="area" dr="W95:W96" r="W97" sId="1"/>
    <undo index="65535" exp="area" dr="V95:V96" r="V97" sId="1"/>
    <undo index="65535" exp="area" dr="U95:U96" r="U97" sId="1"/>
    <undo index="65535" exp="area" dr="T95:T96" r="T97" sId="1"/>
    <undo index="65535" exp="area" dr="S95:S96" r="S97" sId="1"/>
    <undo index="65535" exp="area" ref3D="1" dr="$H$1:$N$1048576" dn="Z_65B035E3_87FA_46C5_996E_864F2C8D0EBC_.wvu.Cols" sId="1"/>
    <rfmt sheetId="1" xfDxf="1" sqref="A95:XFD95" start="0" length="0"/>
    <rcc rId="0" sId="1" dxf="1">
      <nc r="A95">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9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5" start="0" length="0">
      <dxf>
        <font>
          <b/>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9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5">
        <f>S95/AE95*100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95">
        <f>T95+U95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95">
        <f>W95+X95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95">
        <f>AC95+AD95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95">
        <f>S95+V95+Y95+AB95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95">
        <f>AE95+AF95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9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rc>
  <rrc rId="6116" sId="1" ref="A95:XFD95" action="deleteRow">
    <undo index="65535" exp="area" dr="AK95" r="AK96" sId="1"/>
    <undo index="65535" exp="area" dr="AJ95" r="AJ96" sId="1"/>
    <undo index="65535" exp="area" dr="AI95" r="AI96" sId="1"/>
    <undo index="65535" exp="area" dr="AG95" r="AG96" sId="1"/>
    <undo index="65535" exp="area" dr="AF95" r="AF96" sId="1"/>
    <undo index="65535" exp="area" dr="AE95" r="AE96" sId="1"/>
    <undo index="65535" exp="area" dr="AD95" r="AD96" sId="1"/>
    <undo index="65535" exp="area" dr="AC95" r="AC96" sId="1"/>
    <undo index="65535" exp="area" dr="AB95" r="AB96" sId="1"/>
    <undo index="65535" exp="area" dr="AA95" r="AA96" sId="1"/>
    <undo index="65535" exp="area" dr="Z95" r="Z96" sId="1"/>
    <undo index="65535" exp="area" dr="Y95" r="Y96" sId="1"/>
    <undo index="65535" exp="area" dr="X95" r="X96" sId="1"/>
    <undo index="65535" exp="area" dr="W95" r="W96" sId="1"/>
    <undo index="65535" exp="area" dr="V95" r="V96" sId="1"/>
    <undo index="65535" exp="area" dr="U95" r="U96" sId="1"/>
    <undo index="65535" exp="area" dr="T95" r="T96" sId="1"/>
    <undo index="65535" exp="area" dr="S95" r="S96" sId="1"/>
    <undo index="65535" exp="area" ref3D="1" dr="$H$1:$N$1048576" dn="Z_65B035E3_87FA_46C5_996E_864F2C8D0EBC_.wvu.Cols" sId="1"/>
    <rfmt sheetId="1" xfDxf="1" sqref="A95:XFD95" start="0" length="0"/>
    <rfmt sheetId="1" sqref="A9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5"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5" start="0" length="0">
      <dxf>
        <font>
          <b/>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9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5">
        <f>S95/AE95*100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95">
        <f>T95+U95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95">
        <f>W95+X95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95">
        <f>AC95+AD95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95">
        <f>S95+V95+Y95+AB95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95">
        <f>AE95+AF95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9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rc>
  <rrc rId="6117" sId="1" ref="A95:XFD95" action="deleteRow">
    <undo index="65535" exp="area" ref3D="1" dr="$H$1:$N$1048576" dn="Z_65B035E3_87FA_46C5_996E_864F2C8D0EBC_.wvu.Cols" sId="1"/>
    <rfmt sheetId="1" xfDxf="1" sqref="A95:XFD95" start="0" length="0"/>
    <rfmt sheetId="1" sqref="A9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95" t="inlineStr">
        <is>
          <t>TOTAL IAȘI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95">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18" sId="1" ref="A95:XFD95" action="deleteRow">
    <undo index="65535" exp="area" ref3D="1" dr="$H$1:$N$1048576" dn="Z_65B035E3_87FA_46C5_996E_864F2C8D0EBC_.wvu.Cols" sId="1"/>
    <rfmt sheetId="1" xfDxf="1" sqref="A95:XFD95" start="0" length="0"/>
    <rfmt sheetId="1" sqref="A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95" t="inlineStr">
        <is>
          <t>ILFOV</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9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rc>
  <rrc rId="6119" sId="1" ref="A97:XFD97" action="deleteRow">
    <undo index="65535" exp="area" dr="AK95:AK97" r="AK98" sId="1"/>
    <undo index="65535" exp="area" dr="AJ95:AJ97" r="AJ98" sId="1"/>
    <undo index="65535" exp="area" dr="AI95:AI97" r="AI98" sId="1"/>
    <undo index="65535" exp="area" dr="AG95:AG97" r="AG98" sId="1"/>
    <undo index="65535" exp="area" dr="AF95:AF97" r="AF98" sId="1"/>
    <undo index="65535" exp="area" dr="AE95:AE97" r="AE98" sId="1"/>
    <undo index="65535" exp="area" dr="AD95:AD97" r="AD98" sId="1"/>
    <undo index="65535" exp="area" dr="AC95:AC97" r="AC98" sId="1"/>
    <undo index="65535" exp="area" dr="AB95:AB97" r="AB98" sId="1"/>
    <undo index="65535" exp="area" dr="AA95:AA97" r="AA98" sId="1"/>
    <undo index="65535" exp="area" dr="Z95:Z97" r="Z98" sId="1"/>
    <undo index="65535" exp="area" dr="Y95:Y97" r="Y98" sId="1"/>
    <undo index="65535" exp="area" dr="X95:X97" r="X98" sId="1"/>
    <undo index="65535" exp="area" dr="W95:W97" r="W98" sId="1"/>
    <undo index="65535" exp="area" dr="V95:V97" r="V98" sId="1"/>
    <undo index="65535" exp="area" dr="U95:U97" r="U98" sId="1"/>
    <undo index="65535" exp="area" dr="T95:T97" r="T98" sId="1"/>
    <undo index="65535" exp="area" dr="S95:S97" r="S98" sId="1"/>
    <undo index="65535" exp="area" ref3D="1" dr="$H$1:$N$1048576" dn="Z_65B035E3_87FA_46C5_996E_864F2C8D0EBC_.wvu.Cols" sId="1"/>
    <rfmt sheetId="1" xfDxf="1" sqref="A97:XFD97" start="0" length="0"/>
    <rfmt sheetId="1" sqref="A9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7"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7">
        <f>S97/AE97*100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97">
        <f>T97+U97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9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97">
        <f>W97+X97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9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9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97">
        <f>AC97+AD97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9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97">
        <f>S97+V97+Y97+AB97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9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97">
        <f>AE97+AF97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9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rc>
  <rrc rId="6120" sId="1" ref="A97:XFD97" action="deleteRow">
    <undo index="65535" exp="area" ref3D="1" dr="$H$1:$N$1048576" dn="Z_65B035E3_87FA_46C5_996E_864F2C8D0EBC_.wvu.Cols" sId="1"/>
    <rfmt sheetId="1" xfDxf="1" sqref="A97:XFD97" start="0" length="0"/>
    <rfmt sheetId="1" sqref="A9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97" t="inlineStr">
        <is>
          <t>TOTAL ILFOV</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9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9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97">
        <f>SUM(S95:S96)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97">
        <f>SUM(T95:T96)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97">
        <f>SUM(U95:U96)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97">
        <f>SUM(V95:V96)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97">
        <f>SUM(W95:W96)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97">
        <f>SUM(X95:X96)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97">
        <f>SUM(Y95:Y96)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97">
        <f>SUM(Z95:Z96)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97">
        <f>SUM(AA95:AA96)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97">
        <f>SUM(AB95:AB96)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97">
        <f>SUM(AC95:AC96)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97">
        <f>SUM(AD95:AD96)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97">
        <f>SUM(AE95:AE96)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97">
        <f>SUM(AF95:AF96)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97">
        <f>SUM(AG95:AG96)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9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97">
        <f>SUM(AI95:AI96)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97">
        <f>SUM(AJ95:AJ96)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97">
        <f>SUM(AK95:AK96)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21" sId="1" ref="A97:XFD97" action="deleteRow">
    <undo index="65535" exp="area" ref3D="1" dr="$H$1:$N$1048576" dn="Z_65B035E3_87FA_46C5_996E_864F2C8D0EBC_.wvu.Cols" sId="1"/>
    <rfmt sheetId="1" xfDxf="1" sqref="A97:XFD97" start="0" length="0"/>
    <rfmt sheetId="1" sqref="A9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7"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97" t="inlineStr">
        <is>
          <t>MARAMUREȘ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9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9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9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9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9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9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9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rc>
  <rrc rId="6122" sId="1" ref="A98:XFD98" action="deleteRow">
    <undo index="65535" exp="area" ref3D="1" dr="$H$1:$N$1048576" dn="Z_65B035E3_87FA_46C5_996E_864F2C8D0EBC_.wvu.Cols" sId="1"/>
    <rfmt sheetId="1" xfDxf="1" sqref="A98:XFD98" start="0" length="0"/>
    <rcc rId="0" sId="1" dxf="1">
      <nc r="A98">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98"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8">
        <f>S98/AE98*100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98">
        <f>T98+U98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98">
        <f>W98+X98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98">
        <f>AC98+AD98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98">
        <f>S98+V98+Y98+AB98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9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98">
        <f>AE98+AF98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9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rc>
  <rrc rId="6123" sId="1" ref="A98:XFD98" action="deleteRow">
    <undo index="65535" exp="area" dr="AK97:AK98" r="AK99" sId="1"/>
    <undo index="65535" exp="area" dr="AJ97:AJ98" r="AJ99" sId="1"/>
    <undo index="65535" exp="area" dr="AI97:AI98" r="AI99" sId="1"/>
    <undo index="65535" exp="area" dr="AG97:AG98" r="AG99" sId="1"/>
    <undo index="65535" exp="area" dr="AF97:AF98" r="AF99" sId="1"/>
    <undo index="65535" exp="area" dr="AE97:AE98" r="AE99" sId="1"/>
    <undo index="65535" exp="area" dr="AD97:AD98" r="AD99" sId="1"/>
    <undo index="65535" exp="area" dr="AC97:AC98" r="AC99" sId="1"/>
    <undo index="65535" exp="area" dr="AB97:AB98" r="AB99" sId="1"/>
    <undo index="65535" exp="area" dr="AA97:AA98" r="AA99" sId="1"/>
    <undo index="65535" exp="area" dr="Z97:Z98" r="Z99" sId="1"/>
    <undo index="65535" exp="area" dr="Y97:Y98" r="Y99" sId="1"/>
    <undo index="65535" exp="area" dr="X97:X98" r="X99" sId="1"/>
    <undo index="65535" exp="area" dr="W97:W98" r="W99" sId="1"/>
    <undo index="65535" exp="area" dr="V97:V98" r="V99" sId="1"/>
    <undo index="65535" exp="area" dr="U97:U98" r="U99" sId="1"/>
    <undo index="65535" exp="area" dr="T97:T98" r="T99" sId="1"/>
    <undo index="65535" exp="area" dr="S97:S98" r="S99" sId="1"/>
    <undo index="65535" exp="area" ref3D="1" dr="$H$1:$N$1048576" dn="Z_65B035E3_87FA_46C5_996E_864F2C8D0EBC_.wvu.Cols" sId="1"/>
    <rfmt sheetId="1" xfDxf="1" sqref="A98:XFD98" start="0" length="0"/>
    <rfmt sheetId="1" sqref="A9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8"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8">
        <f>S98/AE98*100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98">
        <f>T98+U98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98">
        <f>W98+X98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98">
        <f>AC98+AD98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98">
        <f>S98+V98+Y98+AB98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9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98">
        <f>AE98+AF98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9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rc>
  <rrc rId="6124" sId="1" ref="A98:XFD98" action="deleteRow">
    <undo index="65535" exp="area" ref3D="1" dr="$H$1:$N$1048576" dn="Z_65B035E3_87FA_46C5_996E_864F2C8D0EBC_.wvu.Cols" sId="1"/>
    <rfmt sheetId="1" xfDxf="1" sqref="A98:XFD98" start="0" length="0"/>
    <rfmt sheetId="1" sqref="A9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98" t="inlineStr">
        <is>
          <t>TOTAL MARAMUREȘ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L9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98">
        <f>SUM(S97:S97)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98">
        <f>SUM(T97:T97)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98">
        <f>SUM(U97:U97)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98">
        <f>SUM(V97:V97)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98">
        <f>SUM(W97:W97)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98">
        <f>SUM(X97:X97)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98">
        <f>SUM(Y97:Y97)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98">
        <f>SUM(Z97:Z97)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98">
        <f>SUM(AA97:AA97)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98">
        <f>SUM(AB97:AB97)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98">
        <f>SUM(AC97:AC97)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98">
        <f>SUM(AD97:AD97)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98">
        <f>SUM(AE97:AE97)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98">
        <f>SUM(AF97:AF97)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98">
        <f>SUM(AG97:AG97)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9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98">
        <f>SUM(AI97:AI97)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98">
        <f>SUM(AJ97:AJ97)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98">
        <f>SUM(AK97:AK97)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25" sId="1" ref="A98:XFD98" action="deleteRow">
    <undo index="65535" exp="area" ref3D="1" dr="$H$1:$N$1048576" dn="Z_65B035E3_87FA_46C5_996E_864F2C8D0EBC_.wvu.Cols" sId="1"/>
    <rfmt sheetId="1" xfDxf="1" sqref="A98:XFD98" start="0" length="0"/>
    <rfmt sheetId="1" sqref="A9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8"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9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9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98" t="inlineStr">
        <is>
          <t>MEHEDINȚI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9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9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9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9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9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9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rc>
  <rrc rId="6126" sId="1" ref="A100:XFD100" action="deleteRow">
    <undo index="65535" exp="area" ref3D="1" dr="$H$1:$N$1048576" dn="Z_65B035E3_87FA_46C5_996E_864F2C8D0EBC_.wvu.Cols" sId="1"/>
    <rfmt sheetId="1" xfDxf="1" sqref="A100:XFD100" start="0" length="0"/>
    <rcc rId="0" sId="1" dxf="1">
      <nc r="A100">
        <v>3</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00"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0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0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0">
        <f>S100/AE100*100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00">
        <f>T100+U100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100">
        <f>W100+X100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0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0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00">
        <f>AC100+AD100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00">
        <f>S100+V100+Y100+AB100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0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00">
        <f>AE100+AF100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0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27" sId="1" ref="A100:XFD100" action="deleteRow">
    <undo index="65535" exp="area" dr="AK98:AK100" r="AK102" sId="1"/>
    <undo index="65535" exp="area" dr="AJ98:AJ100" r="AJ102" sId="1"/>
    <undo index="65535" exp="area" dr="AI98:AI100" r="AI102" sId="1"/>
    <undo index="65535" exp="area" dr="AG98:AG100" r="AG102" sId="1"/>
    <undo index="65535" exp="area" dr="AF98:AF100" r="AF102" sId="1"/>
    <undo index="65535" exp="area" dr="AE98:AE100" r="AE102" sId="1"/>
    <undo index="65535" exp="area" dr="AD98:AD100" r="AD102" sId="1"/>
    <undo index="65535" exp="area" dr="AC98:AC100" r="AC102" sId="1"/>
    <undo index="65535" exp="area" dr="AB98:AB100" r="AB102" sId="1"/>
    <undo index="65535" exp="area" dr="AA98:AA100" r="AA102" sId="1"/>
    <undo index="65535" exp="area" dr="Z98:Z100" r="Z102" sId="1"/>
    <undo index="65535" exp="area" dr="Y98:Y100" r="Y102" sId="1"/>
    <undo index="65535" exp="area" dr="X98:X100" r="X102" sId="1"/>
    <undo index="65535" exp="area" dr="W98:W100" r="W102" sId="1"/>
    <undo index="65535" exp="area" dr="V98:V100" r="V102" sId="1"/>
    <undo index="65535" exp="area" dr="U98:U100" r="U102" sId="1"/>
    <undo index="65535" exp="area" dr="T98:T100" r="T102" sId="1"/>
    <undo index="65535" exp="area" dr="S98:S100" r="S102" sId="1"/>
    <undo index="65535" exp="area" ref3D="1" dr="$H$1:$N$1048576" dn="Z_65B035E3_87FA_46C5_996E_864F2C8D0EBC_.wvu.Cols" sId="1"/>
    <rfmt sheetId="1" xfDxf="1" sqref="A100:XFD100" start="0" length="0"/>
    <rcc rId="0" sId="1" dxf="1">
      <nc r="A100">
        <v>3</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00"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0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0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0">
        <f>S100/AE100*100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00">
        <f>T100+U100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100">
        <f>W100+X100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0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0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00">
        <f>AC100+AD100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00">
        <f>S100+V100+Y100+AB100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0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00">
        <f>AE100+AF100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0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28" sId="1" ref="A100:XFD100" action="deleteRow">
    <undo index="65535" exp="area" ref3D="1" dr="$H$1:$N$1048576" dn="Z_65B035E3_87FA_46C5_996E_864F2C8D0EBC_.wvu.Cols" sId="1"/>
    <rfmt sheetId="1" xfDxf="1" sqref="A100:XFD100" start="0" length="0"/>
    <rcc rId="0" sId="1" dxf="1">
      <nc r="A100">
        <v>3</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00"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0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0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0">
        <f>S100/AE100*100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00">
        <f>T100+U100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100">
        <f>W100+X100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0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0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00">
        <f>AC100+AD100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00">
        <f>S100+V100+Y100+AB100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0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00">
        <f>AE100+AF100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0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29" sId="1" ref="A100:XFD100" action="deleteRow">
    <undo index="65535" exp="area" ref3D="1" dr="$H$1:$N$1048576" dn="Z_65B035E3_87FA_46C5_996E_864F2C8D0EBC_.wvu.Cols" sId="1"/>
    <rfmt sheetId="1" xfDxf="1" sqref="A100:XFD100" start="0" length="0"/>
    <rfmt sheetId="1" sqref="A10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00" t="inlineStr">
        <is>
          <t>TOTAL MEHEDINȚI</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10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J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L10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00">
        <f>SUM(S98:S99)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00">
        <f>SUM(T98:T99)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00">
        <f>SUM(U98:U99)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00">
        <f>SUM(V98:V99)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00">
        <f>SUM(W98:W99)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00">
        <f>SUM(X98:X99)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00">
        <f>SUM(Y98:Y99)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00">
        <f>SUM(Z98:Z99)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00">
        <f>SUM(AA98:AA99)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00">
        <f>SUM(AB98:AB99)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00">
        <f>SUM(AC98:AC99)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00">
        <f>SUM(AD98:AD99)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00">
        <f>SUM(AE98:AE99)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00">
        <f>SUM(AF98:AF99)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00">
        <f>SUM(AG98:AG99)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0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00">
        <f>SUM(AI98:AI99)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00">
        <f>SUM(AJ98:AJ99)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00">
        <f>SUM(AK98:AK99)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30" sId="1" ref="A100:XFD100" action="deleteRow">
    <undo index="65535" exp="area" ref3D="1" dr="$H$1:$N$1048576" dn="Z_65B035E3_87FA_46C5_996E_864F2C8D0EBC_.wvu.Cols" sId="1"/>
    <rfmt sheetId="1" xfDxf="1" sqref="A100:XFD100" start="0" length="0"/>
    <rfmt sheetId="1" sqref="A10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0"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0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0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00" t="inlineStr">
        <is>
          <t>MUREȘ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10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0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0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10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0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10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10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0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0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0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31" sId="1" ref="A104:XFD104" action="deleteRow">
    <undo index="65535" exp="area" ref3D="1" dr="$H$1:$N$1048576" dn="Z_65B035E3_87FA_46C5_996E_864F2C8D0EBC_.wvu.Cols" sId="1"/>
    <rfmt sheetId="1" xfDxf="1" sqref="A104:XFD104" start="0" length="0">
      <dxf/>
    </rfmt>
    <rcc rId="0" sId="1" dxf="1">
      <nc r="A104">
        <v>5</v>
      </nc>
      <ndxf>
        <font>
          <sz val="12"/>
          <color auto="1"/>
        </font>
        <alignment horizontal="center" vertical="center" wrapText="1"/>
        <border outline="0">
          <left style="medium">
            <color indexed="64"/>
          </left>
          <right style="thin">
            <color indexed="64"/>
          </right>
          <top style="thin">
            <color indexed="64"/>
          </top>
          <bottom style="thin">
            <color indexed="64"/>
          </bottom>
        </border>
      </ndxf>
    </rcc>
    <rfmt sheetId="1" sqref="B104" start="0" length="0">
      <dxf>
        <font>
          <sz val="12"/>
          <color auto="1"/>
        </font>
        <alignment horizontal="center" vertical="center" wrapText="1"/>
        <border outline="0">
          <right style="thin">
            <color indexed="64"/>
          </right>
          <top style="thin">
            <color indexed="64"/>
          </top>
          <bottom style="thin">
            <color indexed="64"/>
          </bottom>
        </border>
      </dxf>
    </rfmt>
    <rfmt sheetId="1" sqref="C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D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E10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F10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G10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10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10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10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0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4">
        <f>S104/AE104*100</f>
      </nc>
      <n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R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104">
        <f>T104+U104</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104"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cc rId="0" sId="1" s="1" dxf="1">
      <nc r="V104">
        <f>W104+X104</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104"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cc rId="0" sId="1" s="1" dxf="1">
      <nc r="Y104">
        <f>Z104+AA104</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04">
        <f>AC104+AD104</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04" start="0" length="0">
      <dxf>
        <font>
          <sz val="12"/>
          <color auto="1"/>
        </font>
        <numFmt numFmtId="2" formatCode="0.00"/>
        <alignment horizontal="right" vertical="center" wrapText="1"/>
        <border outline="0">
          <left style="thin">
            <color indexed="64"/>
          </left>
          <right style="thin">
            <color indexed="64"/>
          </right>
          <top style="thin">
            <color indexed="64"/>
          </top>
          <bottom style="thin">
            <color indexed="64"/>
          </bottom>
        </border>
      </dxf>
    </rfmt>
    <rfmt sheetId="1" sqref="AD104" start="0" length="0">
      <dxf>
        <font>
          <sz val="12"/>
          <color auto="1"/>
        </font>
        <numFmt numFmtId="2" formatCode="0.00"/>
        <alignment horizontal="right" vertical="center" wrapText="1"/>
        <border outline="0">
          <left style="thin">
            <color indexed="64"/>
          </left>
          <right style="thin">
            <color indexed="64"/>
          </right>
          <top style="thin">
            <color indexed="64"/>
          </top>
          <bottom style="thin">
            <color indexed="64"/>
          </bottom>
        </border>
      </dxf>
    </rfmt>
    <rcc rId="0" sId="1" s="1" dxf="1">
      <nc r="AE104">
        <f>S104+V104+Y104+AB104</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04"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04">
        <f>AE104+AF104</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4"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4"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132" sId="1" ref="A104:XFD104" action="deleteRow">
    <undo index="65535" exp="area" ref3D="1" dr="$H$1:$N$1048576" dn="Z_65B035E3_87FA_46C5_996E_864F2C8D0EBC_.wvu.Cols" sId="1"/>
    <rfmt sheetId="1" xfDxf="1" sqref="A104:XFD104" start="0" length="0">
      <dxf/>
    </rfmt>
    <rcc rId="0" sId="1" dxf="1">
      <nc r="A104">
        <v>6</v>
      </nc>
      <ndxf>
        <font>
          <sz val="12"/>
          <color auto="1"/>
        </font>
        <alignment horizontal="center" vertical="center" wrapText="1"/>
        <border outline="0">
          <left style="medium">
            <color indexed="64"/>
          </left>
          <right style="thin">
            <color indexed="64"/>
          </right>
          <top style="thin">
            <color indexed="64"/>
          </top>
          <bottom style="thin">
            <color indexed="64"/>
          </bottom>
        </border>
      </ndxf>
    </rcc>
    <rfmt sheetId="1" sqref="B104" start="0" length="0">
      <dxf>
        <font>
          <sz val="12"/>
          <color auto="1"/>
        </font>
        <alignment horizontal="center" vertical="center" wrapText="1"/>
        <border outline="0">
          <right style="thin">
            <color indexed="64"/>
          </right>
          <top style="thin">
            <color indexed="64"/>
          </top>
          <bottom style="thin">
            <color indexed="64"/>
          </bottom>
        </border>
      </dxf>
    </rfmt>
    <rfmt sheetId="1" sqref="C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D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E10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F10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G10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10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10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10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0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4">
        <f>S104/AE104*100</f>
      </nc>
      <n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R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104">
        <f>T104+U104</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104"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cc rId="0" sId="1" s="1" dxf="1">
      <nc r="V104">
        <f>W104+X104</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104"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cc rId="0" sId="1" s="1" dxf="1">
      <nc r="Y104">
        <f>Z104+AA104</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04">
        <f>AC104+AD104</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04" start="0" length="0">
      <dxf>
        <font>
          <sz val="12"/>
          <color auto="1"/>
        </font>
        <numFmt numFmtId="2" formatCode="0.00"/>
        <alignment horizontal="right" vertical="center" wrapText="1"/>
        <border outline="0">
          <left style="thin">
            <color indexed="64"/>
          </left>
          <right style="thin">
            <color indexed="64"/>
          </right>
          <top style="thin">
            <color indexed="64"/>
          </top>
          <bottom style="thin">
            <color indexed="64"/>
          </bottom>
        </border>
      </dxf>
    </rfmt>
    <rfmt sheetId="1" sqref="AD104" start="0" length="0">
      <dxf>
        <font>
          <sz val="12"/>
          <color auto="1"/>
        </font>
        <numFmt numFmtId="2" formatCode="0.00"/>
        <alignment horizontal="right" vertical="center" wrapText="1"/>
        <border outline="0">
          <left style="thin">
            <color indexed="64"/>
          </left>
          <right style="thin">
            <color indexed="64"/>
          </right>
          <top style="thin">
            <color indexed="64"/>
          </top>
          <bottom style="thin">
            <color indexed="64"/>
          </bottom>
        </border>
      </dxf>
    </rfmt>
    <rcc rId="0" sId="1" s="1" dxf="1">
      <nc r="AE104">
        <f>S104+V104+Y104+AB104</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04"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04">
        <f>AE104+AF104</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4"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4"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133" sId="1" ref="A104:XFD104" action="deleteRow">
    <undo index="65535" exp="area" ref3D="1" dr="$H$1:$N$1048576" dn="Z_65B035E3_87FA_46C5_996E_864F2C8D0EBC_.wvu.Cols" sId="1"/>
    <rfmt sheetId="1" xfDxf="1" sqref="A104:XFD104" start="0" length="0">
      <dxf/>
    </rfmt>
    <rfmt sheetId="1" sqref="A10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104" start="0" length="0">
      <dxf>
        <font>
          <sz val="12"/>
          <color auto="1"/>
        </font>
        <alignment horizontal="center" vertical="center" wrapText="1"/>
        <border outline="0">
          <right style="thin">
            <color indexed="64"/>
          </right>
          <top style="thin">
            <color indexed="64"/>
          </top>
          <bottom style="thin">
            <color indexed="64"/>
          </bottom>
        </border>
      </dxf>
    </rfmt>
    <rfmt sheetId="1" sqref="C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D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E10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F10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G10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10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10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10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0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4">
        <f>S104/AE104*100</f>
      </nc>
      <n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R10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104">
        <f>T104+U104</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104"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cc rId="0" sId="1" s="1" dxf="1">
      <nc r="V104">
        <f>W104+X104</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X104"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cc rId="0" sId="1" s="1" dxf="1">
      <nc r="Y104">
        <f>Z104+AA104</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04">
        <f>AC104+AD104</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04" start="0" length="0">
      <dxf>
        <font>
          <sz val="12"/>
          <color auto="1"/>
        </font>
        <numFmt numFmtId="2" formatCode="0.00"/>
        <alignment horizontal="right" vertical="center" wrapText="1"/>
        <border outline="0">
          <left style="thin">
            <color indexed="64"/>
          </left>
          <right style="thin">
            <color indexed="64"/>
          </right>
          <top style="thin">
            <color indexed="64"/>
          </top>
          <bottom style="thin">
            <color indexed="64"/>
          </bottom>
        </border>
      </dxf>
    </rfmt>
    <rfmt sheetId="1" sqref="AD104" start="0" length="0">
      <dxf>
        <font>
          <sz val="12"/>
          <color auto="1"/>
        </font>
        <numFmt numFmtId="2" formatCode="0.00"/>
        <alignment horizontal="right" vertical="center" wrapText="1"/>
        <border outline="0">
          <left style="thin">
            <color indexed="64"/>
          </left>
          <right style="thin">
            <color indexed="64"/>
          </right>
          <top style="thin">
            <color indexed="64"/>
          </top>
          <bottom style="thin">
            <color indexed="64"/>
          </bottom>
        </border>
      </dxf>
    </rfmt>
    <rcc rId="0" sId="1" s="1" dxf="1">
      <nc r="AE104">
        <f>S104+V104+Y104+AB104</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04"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04">
        <f>AE104+AF104</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4"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4"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0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134" sId="1" ref="A104:XFD104" action="deleteRow">
    <undo index="65535" exp="area" ref3D="1" dr="$H$1:$N$1048576" dn="Z_65B035E3_87FA_46C5_996E_864F2C8D0EBC_.wvu.Cols" sId="1"/>
    <rfmt sheetId="1" xfDxf="1" sqref="A104:XFD104" start="0" length="0"/>
    <rfmt sheetId="1" sqref="A10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0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0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0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04" t="inlineStr">
        <is>
          <t>TOTAL MUREȘ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0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0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0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0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0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0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04">
        <f>SUM(S100:S102)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04">
        <f>SUM(T100:T102)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04">
        <f>SUM(U100:U102)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04">
        <f>SUM(V100:V102)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04">
        <f>SUM(W100:W102)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04">
        <f>SUM(X100:X102)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04">
        <f>SUM(Y100:Y102)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04">
        <f>SUM(Z100:Z102)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04">
        <f>SUM(AA100:AA102)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04">
        <f>SUM(AB100:AB102)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04">
        <f>SUM(AC100:AC102)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04">
        <f>SUM(AD100:AD102)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04">
        <f>SUM(AE100:AE102)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04">
        <f>SUM(AF100:AF102)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04">
        <f>SUM(AG100:AG102)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0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04">
        <f>SUM(AI100:AI102)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04">
        <f>SUM(AJ100:AJ102)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04">
        <f>SUM(AK100:AK102)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35" sId="1" ref="A104:XFD104" action="deleteRow">
    <undo index="65535" exp="area" ref3D="1" dr="$H$1:$N$1048576" dn="Z_65B035E3_87FA_46C5_996E_864F2C8D0EBC_.wvu.Cols" sId="1"/>
    <rfmt sheetId="1" xfDxf="1" sqref="A104:XFD104" start="0" length="0"/>
    <rfmt sheetId="1" sqref="A104"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0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0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0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104"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10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04"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0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0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04" start="0" length="0">
      <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10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04" t="inlineStr">
        <is>
          <t>NEAMȚ</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0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4"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10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T10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U10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V10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W10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10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Y10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Z10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10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B10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C10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D10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E10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F10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G10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0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4"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0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0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136" sId="1" ref="A107:XFD107" action="deleteRow">
    <undo index="65535" exp="area" ref3D="1" dr="$H$1:$N$1048576" dn="Z_65B035E3_87FA_46C5_996E_864F2C8D0EBC_.wvu.Cols" sId="1"/>
    <rfmt sheetId="1" xfDxf="1" sqref="A107:XFD107" start="0" length="0"/>
    <rfmt sheetId="1" sqref="A107"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7"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0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107"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10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07"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0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0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7">
        <f>S107/AE107*100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7"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07">
        <f>T107+U107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T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U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V107">
        <f>W107+X107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Y107">
        <f>Z107+AA107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B107">
        <f>AC107+AD107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D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E107">
        <f>S107+V107+Y107+AB107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F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07">
        <f>AE107+AF107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7"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0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0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137" sId="1" ref="A107:XFD107" action="deleteRow">
    <undo index="65535" exp="area" ref3D="1" dr="$H$1:$N$1048576" dn="Z_65B035E3_87FA_46C5_996E_864F2C8D0EBC_.wvu.Cols" sId="1"/>
    <rfmt sheetId="1" xfDxf="1" sqref="A107:XFD107" start="0" length="0"/>
    <rfmt sheetId="1" sqref="A107"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7"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0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107"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10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07"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0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0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7">
        <f>S107/AE107*100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7"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07">
        <f>T107+U107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T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U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V107">
        <f>W107+X107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Y107">
        <f>Z107+AA107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B107">
        <f>AC107+AD107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D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E107">
        <f>S107+V107+Y107+AB107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F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07">
        <f>AE107+AF107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7"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0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0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138" sId="1" ref="A107:XFD107" action="deleteRow">
    <undo index="65535" exp="area" dr="AK104:AK107" r="AK108" sId="1"/>
    <undo index="65535" exp="area" dr="AJ104:AJ107" r="AJ108" sId="1"/>
    <undo index="65535" exp="area" dr="AI104:AI107" r="AI108" sId="1"/>
    <undo index="65535" exp="area" dr="AH104:AH107" r="AH108" sId="1"/>
    <undo index="65535" exp="area" dr="AG104:AG107" r="AG108" sId="1"/>
    <undo index="65535" exp="area" dr="AF104:AF107" r="AF108" sId="1"/>
    <undo index="65535" exp="area" dr="AE104:AE107" r="AE108" sId="1"/>
    <undo index="65535" exp="area" dr="AD104:AD107" r="AD108" sId="1"/>
    <undo index="65535" exp="area" dr="AC104:AC107" r="AC108" sId="1"/>
    <undo index="65535" exp="area" dr="AB104:AB107" r="AB108" sId="1"/>
    <undo index="65535" exp="area" dr="AA104:AA107" r="AA108" sId="1"/>
    <undo index="65535" exp="area" dr="Z104:Z107" r="Z108" sId="1"/>
    <undo index="65535" exp="area" dr="Y104:Y107" r="Y108" sId="1"/>
    <undo index="65535" exp="area" dr="X104:X107" r="X108" sId="1"/>
    <undo index="65535" exp="area" dr="W104:W107" r="W108" sId="1"/>
    <undo index="65535" exp="area" dr="V104:V107" r="V108" sId="1"/>
    <undo index="65535" exp="area" dr="U104:U107" r="U108" sId="1"/>
    <undo index="65535" exp="area" dr="T104:T107" r="T108" sId="1"/>
    <undo index="65535" exp="area" dr="S104:S107" r="S108" sId="1"/>
    <undo index="65535" exp="area" ref3D="1" dr="$H$1:$N$1048576" dn="Z_65B035E3_87FA_46C5_996E_864F2C8D0EBC_.wvu.Cols" sId="1"/>
    <rfmt sheetId="1" xfDxf="1" sqref="A107:XFD107" start="0" length="0"/>
    <rfmt sheetId="1" sqref="A107"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7"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0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107"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10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07"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0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0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7">
        <f>S107/AE107*100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7"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07">
        <f>T107+U107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T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U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V107">
        <f>W107+X107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Y107">
        <f>Z107+AA107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B107">
        <f>AC107+AD107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D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E107">
        <f>S107+V107+Y107+AB107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F10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07">
        <f>AE107+AF107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7"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0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0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139" sId="1" ref="A107:XFD107" action="deleteRow">
    <undo index="65535" exp="area" ref3D="1" dr="$H$1:$N$1048576" dn="Z_65B035E3_87FA_46C5_996E_864F2C8D0EBC_.wvu.Cols" sId="1"/>
    <rfmt sheetId="1" xfDxf="1" sqref="A107:XFD107" start="0" length="0"/>
    <rfmt sheetId="1" sqref="A10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07" t="inlineStr">
        <is>
          <t>TOTAL NEAMȚ</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0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07">
        <f>SUM(S104:S106)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07">
        <f>SUM(T104:T106)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07">
        <f>SUM(U104:U106)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07">
        <f>SUM(V104:V106)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07">
        <f>SUM(W104:W106)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07">
        <f>SUM(X104:X106)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07">
        <f>SUM(Y104:Y106)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07">
        <f>SUM(Z104:Z106)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07">
        <f>SUM(AA104:AA106)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07">
        <f>SUM(AB104:AB106)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07">
        <f>SUM(AC104:AC106)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07">
        <f>SUM(AD104:AD106)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07">
        <f>SUM(AE104:AE106)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07">
        <f>SUM(AF104:AF106)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07">
        <f>SUM(AG104:AG106)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107">
        <f>SUM(AH104:AH106)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107">
        <f>SUM(AI104:AI106)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07">
        <f>SUM(AJ104:AJ106)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07">
        <f>SUM(AK104:AK106)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40" sId="1" ref="A110:XFD110" action="deleteRow">
    <undo index="65535" exp="area" ref3D="1" dr="$H$1:$N$1048576" dn="Z_65B035E3_87FA_46C5_996E_864F2C8D0EBC_.wvu.Cols" sId="1"/>
    <rfmt sheetId="1" xfDxf="1" sqref="A110:XFD110" start="0" length="0"/>
    <rfmt sheetId="1" sqref="A11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0"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0">
        <f>S110/AE110*100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0">
        <f>T110+U110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110">
        <f>W110+X110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110">
        <f>Z110+AA110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1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10">
        <f>AC110+AD110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10">
        <f>S110+V110+Y110+AB110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0">
        <f>AE110+AF110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41" sId="1" ref="A110:XFD110" action="deleteRow">
    <undo index="65535" exp="area" ref3D="1" dr="$H$1:$N$1048576" dn="Z_65B035E3_87FA_46C5_996E_864F2C8D0EBC_.wvu.Cols" sId="1"/>
    <rfmt sheetId="1" xfDxf="1" sqref="A110:XFD110" start="0" length="0"/>
    <rfmt sheetId="1" sqref="A11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0"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0">
        <f>S110/AE110*100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0">
        <f>T110+U110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110">
        <f>W110+X110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110">
        <f>Z110+AA110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1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10">
        <f>AC110+AD110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10">
        <f>S110+V110+Y110+AB110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0">
        <f>AE110+AF110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42" sId="1" ref="A110:XFD110" action="deleteRow">
    <undo index="65535" exp="area" ref3D="1" dr="$H$1:$N$1048576" dn="Z_65B035E3_87FA_46C5_996E_864F2C8D0EBC_.wvu.Cols" sId="1"/>
    <rfmt sheetId="1" xfDxf="1" sqref="A110:XFD110" start="0" length="0"/>
    <rfmt sheetId="1" sqref="A11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0"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0">
        <f>S110/AE110*100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0">
        <f>T110+U110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110">
        <f>W110+X110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110">
        <f>Z110+AA110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1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10">
        <f>AC110+AD110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10">
        <f>S110+V110+Y110+AB110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0">
        <f>AE110+AF110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43" sId="1" ref="A110:XFD110" action="deleteRow">
    <undo index="65535" exp="area" ref3D="1" dr="$H$1:$N$1048576" dn="Z_65B035E3_87FA_46C5_996E_864F2C8D0EBC_.wvu.Cols" sId="1"/>
    <rfmt sheetId="1" xfDxf="1" sqref="A110:XFD110" start="0" length="0"/>
    <rfmt sheetId="1" sqref="A11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10" t="inlineStr">
        <is>
          <t>TOTAL OLT</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10">
        <f>SUM(S107:S109)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10">
        <f>SUM(T107:T109)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10">
        <f>SUM(U107:U109)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10">
        <f>SUM(V107:V109)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10">
        <f>SUM(W107:W109)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10">
        <f>SUM(X107:X109)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10">
        <f>SUM(Y107:Y109)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10">
        <f>SUM(Z107:Z109)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10">
        <f>SUM(AA107:AA109)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10">
        <f>SUM(AB107:AB109)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10">
        <f>SUM(AC107:AC109)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10">
        <f>SUM(AD107:AD109)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10">
        <f>SUM(AE107:AE109)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10">
        <f>SUM(AF107:AF109)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10">
        <f>SUM(AG107:AG109)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1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10">
        <f>SUM(AI107:AI109)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10">
        <f>SUM(AJ107:AJ109)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10">
        <f>SUM(AK107:AK109)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44" sId="1" ref="A110:XFD110" action="deleteRow">
    <undo index="65535" exp="area" ref3D="1" dr="$H$1:$N$1048576" dn="Z_65B035E3_87FA_46C5_996E_864F2C8D0EBC_.wvu.Cols" sId="1"/>
    <rfmt sheetId="1" xfDxf="1" sqref="A110:XFD110" start="0" length="0"/>
    <rfmt sheetId="1" sqref="A11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0"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10" t="inlineStr">
        <is>
          <t>PRAHOVA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11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11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11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1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1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45" sId="1" ref="A113:XFD113" action="deleteRow">
    <undo index="65535" exp="area" ref3D="1" dr="$H$1:$N$1048576" dn="Z_65B035E3_87FA_46C5_996E_864F2C8D0EBC_.wvu.Cols" sId="1"/>
    <rfmt sheetId="1" xfDxf="1" sqref="A113:XFD113" start="0" length="0"/>
    <rfmt sheetId="1" sqref="A113"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3"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3"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3"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3"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3"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3"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3"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3"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3"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11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3">
        <f>S113/AE113*100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3">
        <f>T113+U113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11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U11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V113">
        <f>W113+X113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11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11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Y113">
        <f>Z113+AA113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1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13">
        <f>AC113+AD113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3" start="0" length="0">
      <dxf>
        <font>
          <sz val="12"/>
          <color auto="1"/>
          <name val="Calibri"/>
          <family val="2"/>
          <charset val="238"/>
          <scheme val="minor"/>
        </font>
        <numFmt numFmtId="166" formatCode="#,##0.00_ ;\-#,##0.00\ "/>
      </dxf>
    </rfmt>
    <rfmt sheetId="1" sqref="AD113" start="0" length="0">
      <dxf>
        <font>
          <sz val="12"/>
          <color auto="1"/>
          <name val="Calibri"/>
          <family val="2"/>
          <charset val="238"/>
          <scheme val="minor"/>
        </font>
        <numFmt numFmtId="166" formatCode="#,##0.00_ ;\-#,##0.00\ "/>
      </dxf>
    </rfmt>
    <rcc rId="0" sId="1" s="1" dxf="1">
      <nc r="AE113">
        <f>S113+V113+Y113+AB113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1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3">
        <f>AE113+AF113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46" sId="1" ref="A113:XFD113" action="deleteRow">
    <undo index="65535" exp="area" dr="AK110:AK113" r="AK114" sId="1"/>
    <undo index="65535" exp="area" dr="AJ110:AJ113" r="AJ114" sId="1"/>
    <undo index="65535" exp="area" dr="AI110:AI113" r="AI114" sId="1"/>
    <undo index="65535" exp="area" dr="AG110:AG113" r="AG114" sId="1"/>
    <undo index="65535" exp="area" dr="AF110:AF113" r="AF114" sId="1"/>
    <undo index="65535" exp="area" dr="AE110:AE113" r="AE114" sId="1"/>
    <undo index="65535" exp="area" dr="AD110:AD113" r="AD114" sId="1"/>
    <undo index="65535" exp="area" dr="AC110:AC113" r="AC114" sId="1"/>
    <undo index="65535" exp="area" dr="AB110:AB113" r="AB114" sId="1"/>
    <undo index="65535" exp="area" dr="AA110:AA113" r="AA114" sId="1"/>
    <undo index="65535" exp="area" dr="Z110:Z113" r="Z114" sId="1"/>
    <undo index="65535" exp="area" dr="Y110:Y113" r="Y114" sId="1"/>
    <undo index="65535" exp="area" dr="X110:X113" r="X114" sId="1"/>
    <undo index="65535" exp="area" dr="W110:W113" r="W114" sId="1"/>
    <undo index="65535" exp="area" dr="V110:V113" r="V114" sId="1"/>
    <undo index="65535" exp="area" dr="U110:U113" r="U114" sId="1"/>
    <undo index="65535" exp="area" dr="T110:T113" r="T114" sId="1"/>
    <undo index="65535" exp="area" dr="S110:S113" r="S114" sId="1"/>
    <undo index="65535" exp="area" ref3D="1" dr="$H$1:$N$1048576" dn="Z_65B035E3_87FA_46C5_996E_864F2C8D0EBC_.wvu.Cols" sId="1"/>
    <rfmt sheetId="1" xfDxf="1" sqref="A113:XFD113" start="0" length="0"/>
    <rfmt sheetId="1" sqref="A11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3"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3">
        <f>S113/AE113*100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3">
        <f>T113+U113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113">
        <f>W113+X113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113">
        <f>Z113+AA113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13"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3"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13">
        <f>AC113+AD113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3" start="0" length="0">
      <dxf>
        <font>
          <sz val="12"/>
          <color auto="1"/>
          <name val="Calibri"/>
          <family val="2"/>
          <charset val="238"/>
          <scheme val="minor"/>
        </font>
        <numFmt numFmtId="166" formatCode="#,##0.00_ ;\-#,##0.00\ "/>
      </dxf>
    </rfmt>
    <rfmt sheetId="1" sqref="AD113" start="0" length="0">
      <dxf>
        <font>
          <sz val="12"/>
          <color auto="1"/>
          <name val="Calibri"/>
          <family val="2"/>
          <charset val="238"/>
          <scheme val="minor"/>
        </font>
        <numFmt numFmtId="166" formatCode="#,##0.00_ ;\-#,##0.00\ "/>
      </dxf>
    </rfmt>
    <rcc rId="0" sId="1" s="1" dxf="1">
      <nc r="AE113">
        <f>S113+V113+Y113+AB113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3">
        <f>AE113+AF113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47" sId="1" ref="A113:XFD113" action="deleteRow">
    <undo index="65535" exp="area" ref3D="1" dr="$H$1:$N$1048576" dn="Z_65B035E3_87FA_46C5_996E_864F2C8D0EBC_.wvu.Cols" sId="1"/>
    <rfmt sheetId="1" xfDxf="1" sqref="A113:XFD113" start="0" length="0"/>
    <rfmt sheetId="1" sqref="A11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13" t="inlineStr">
        <is>
          <t>TOTAL PRAHOVA</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11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1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13">
        <f>SUM(S110:S112)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13">
        <f>SUM(T110:T112)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13">
        <f>SUM(U110:U112)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13">
        <f>SUM(V110:V112)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13">
        <f>SUM(W110:W112)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13">
        <f>SUM(X110:X112)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13">
        <f>SUM(Y110:Y112)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13">
        <f>SUM(Z110:Z112)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13">
        <f>SUM(AA110:AA112)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13">
        <f>SUM(AB110:AB112)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13">
        <f>SUM(AC110:AC112)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113">
        <f>SUM(AD110:AD112)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113">
        <f>SUM(AE110:AE112)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13">
        <f>SUM(AF110:AF112)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13">
        <f>SUM(AG110:AG112)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13"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13">
        <f>SUM(AI110:AI112)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13">
        <f>SUM(AJ110:AJ112)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13">
        <f>SUM(AK110:AK112)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48" sId="1" ref="A113:XFD113" action="deleteRow">
    <undo index="65535" exp="area" ref3D="1" dr="$H$1:$N$1048576" dn="Z_65B035E3_87FA_46C5_996E_864F2C8D0EBC_.wvu.Cols" sId="1"/>
    <rfmt sheetId="1" xfDxf="1" sqref="A113:XFD113" start="0" length="0"/>
    <rfmt sheetId="1" sqref="A113"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3"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3">
        <f>S113/AE113*100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13" t="inlineStr">
        <is>
          <t>SĂLAJ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11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3"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3"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11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13" start="0" length="0">
      <dxf>
        <font>
          <sz val="12"/>
          <color auto="1"/>
          <name val="Calibri"/>
          <family val="2"/>
          <charset val="238"/>
          <scheme val="minor"/>
        </font>
        <numFmt numFmtId="166" formatCode="#,##0.00_ ;\-#,##0.00\ "/>
      </dxf>
    </rfmt>
    <rfmt sheetId="1" sqref="AD113" start="0" length="0">
      <dxf>
        <font>
          <sz val="12"/>
          <color auto="1"/>
          <name val="Calibri"/>
          <family val="2"/>
          <charset val="238"/>
          <scheme val="minor"/>
        </font>
        <numFmt numFmtId="166" formatCode="#,##0.00_ ;\-#,##0.00\ "/>
      </dxf>
    </rfmt>
    <rfmt sheetId="1" s="1" sqref="AE11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1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1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49" sId="1" ref="A114:XFD114" action="deleteRow">
    <undo index="65535" exp="area" ref3D="1" dr="$H$1:$N$1048576" dn="Z_65B035E3_87FA_46C5_996E_864F2C8D0EBC_.wvu.Cols" sId="1"/>
    <rfmt sheetId="1" xfDxf="1" sqref="A114:XFD114" start="0" length="0"/>
    <rcc rId="0" sId="1" dxf="1">
      <nc r="A114">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1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4">
        <f>S114/AE114*100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4">
        <f>T114+U114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114">
        <f>W114+X114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14">
        <f>AC114+AD114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4" start="0" length="0">
      <dxf>
        <font>
          <sz val="12"/>
          <color auto="1"/>
          <name val="Calibri"/>
          <family val="2"/>
          <charset val="238"/>
          <scheme val="minor"/>
        </font>
        <numFmt numFmtId="166" formatCode="#,##0.00_ ;\-#,##0.00\ "/>
        <border outline="0">
          <left style="thin">
            <color indexed="64"/>
          </left>
          <right style="thin">
            <color indexed="64"/>
          </right>
          <top style="thin">
            <color indexed="64"/>
          </top>
          <bottom style="thin">
            <color indexed="64"/>
          </bottom>
        </border>
      </dxf>
    </rfmt>
    <rfmt sheetId="1" sqref="AD114" start="0" length="0">
      <dxf>
        <font>
          <sz val="12"/>
          <color auto="1"/>
          <name val="Calibri"/>
          <family val="2"/>
          <charset val="238"/>
          <scheme val="minor"/>
        </font>
        <numFmt numFmtId="166" formatCode="#,##0.00_ ;\-#,##0.00\ "/>
        <border outline="0">
          <left style="thin">
            <color indexed="64"/>
          </left>
          <right style="thin">
            <color indexed="64"/>
          </right>
          <top style="thin">
            <color indexed="64"/>
          </top>
          <bottom style="thin">
            <color indexed="64"/>
          </bottom>
        </border>
      </dxf>
    </rfmt>
    <rcc rId="0" sId="1" s="1" dxf="1">
      <nc r="AE114">
        <f>S114+V114+Y114+AB114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4">
        <f>AE114+AF114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50" sId="1" ref="A114:XFD114" action="deleteRow">
    <undo index="65535" exp="area" ref3D="1" dr="$H$1:$N$1048576" dn="Z_65B035E3_87FA_46C5_996E_864F2C8D0EBC_.wvu.Cols" sId="1"/>
    <rfmt sheetId="1" xfDxf="1" sqref="A114:XFD114" start="0" length="0"/>
    <rfmt sheetId="1" sqref="A11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4">
        <f>S114/AE114*100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4">
        <f>T114+U114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114">
        <f>W114+X114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14">
        <f>AC114+AD114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4" start="0" length="0">
      <dxf>
        <font>
          <sz val="12"/>
          <color auto="1"/>
          <name val="Calibri"/>
          <family val="2"/>
          <charset val="238"/>
          <scheme val="minor"/>
        </font>
        <numFmt numFmtId="166" formatCode="#,##0.00_ ;\-#,##0.00\ "/>
        <border outline="0">
          <left style="thin">
            <color indexed="64"/>
          </left>
          <right style="thin">
            <color indexed="64"/>
          </right>
          <top style="thin">
            <color indexed="64"/>
          </top>
          <bottom style="thin">
            <color indexed="64"/>
          </bottom>
        </border>
      </dxf>
    </rfmt>
    <rfmt sheetId="1" sqref="AD114" start="0" length="0">
      <dxf>
        <font>
          <sz val="12"/>
          <color auto="1"/>
          <name val="Calibri"/>
          <family val="2"/>
          <charset val="238"/>
          <scheme val="minor"/>
        </font>
        <numFmt numFmtId="166" formatCode="#,##0.00_ ;\-#,##0.00\ "/>
        <border outline="0">
          <left style="thin">
            <color indexed="64"/>
          </left>
          <right style="thin">
            <color indexed="64"/>
          </right>
          <top style="thin">
            <color indexed="64"/>
          </top>
          <bottom style="thin">
            <color indexed="64"/>
          </bottom>
        </border>
      </dxf>
    </rfmt>
    <rcc rId="0" sId="1" s="1" dxf="1">
      <nc r="AE114">
        <f>S114+V114+Y114+AB114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4">
        <f>AE114+AF114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51" sId="1" ref="A114:XFD114" action="deleteRow">
    <undo index="65535" exp="area" dr="AK113:AK114" r="AK115" sId="1"/>
    <undo index="65535" exp="area" dr="AJ113:AJ114" r="AJ115" sId="1"/>
    <undo index="65535" exp="area" dr="AI113:AI114" r="AI115" sId="1"/>
    <undo index="65535" exp="area" dr="AG113:AG114" r="AG115" sId="1"/>
    <undo index="65535" exp="area" dr="AF113:AF114" r="AF115" sId="1"/>
    <undo index="65535" exp="area" dr="AE113:AE114" r="AE115" sId="1"/>
    <undo index="65535" exp="area" dr="AD113:AD114" r="AD115" sId="1"/>
    <undo index="65535" exp="area" dr="AC113:AC114" r="AC115" sId="1"/>
    <undo index="65535" exp="area" dr="AB113:AB114" r="AB115" sId="1"/>
    <undo index="65535" exp="area" dr="AA113:AA114" r="AA115" sId="1"/>
    <undo index="65535" exp="area" dr="Z113:Z114" r="Z115" sId="1"/>
    <undo index="65535" exp="area" dr="Y113:Y114" r="Y115" sId="1"/>
    <undo index="65535" exp="area" dr="X113:X114" r="X115" sId="1"/>
    <undo index="65535" exp="area" dr="W113:W114" r="W115" sId="1"/>
    <undo index="65535" exp="area" dr="V113:V114" r="V115" sId="1"/>
    <undo index="65535" exp="area" dr="U113:U114" r="U115" sId="1"/>
    <undo index="65535" exp="area" dr="T113:T114" r="T115" sId="1"/>
    <undo index="65535" exp="area" dr="S113:S114" r="S115" sId="1"/>
    <undo index="65535" exp="area" ref3D="1" dr="$H$1:$N$1048576" dn="Z_65B035E3_87FA_46C5_996E_864F2C8D0EBC_.wvu.Cols" sId="1"/>
    <rfmt sheetId="1" xfDxf="1" sqref="A114:XFD114" start="0" length="0"/>
    <rfmt sheetId="1" sqref="A11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4">
        <f>S114/AE114*100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4">
        <f>T114+U114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114">
        <f>W114+X114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14">
        <f>AC114+AD114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4" start="0" length="0">
      <dxf>
        <font>
          <sz val="12"/>
          <color auto="1"/>
          <name val="Calibri"/>
          <family val="2"/>
          <charset val="238"/>
          <scheme val="minor"/>
        </font>
        <numFmt numFmtId="166" formatCode="#,##0.00_ ;\-#,##0.00\ "/>
        <border outline="0">
          <left style="thin">
            <color indexed="64"/>
          </left>
          <right style="thin">
            <color indexed="64"/>
          </right>
          <top style="thin">
            <color indexed="64"/>
          </top>
          <bottom style="thin">
            <color indexed="64"/>
          </bottom>
        </border>
      </dxf>
    </rfmt>
    <rfmt sheetId="1" sqref="AD114" start="0" length="0">
      <dxf>
        <font>
          <sz val="12"/>
          <color auto="1"/>
          <name val="Calibri"/>
          <family val="2"/>
          <charset val="238"/>
          <scheme val="minor"/>
        </font>
        <numFmt numFmtId="166" formatCode="#,##0.00_ ;\-#,##0.00\ "/>
        <border outline="0">
          <left style="thin">
            <color indexed="64"/>
          </left>
          <right style="thin">
            <color indexed="64"/>
          </right>
          <top style="thin">
            <color indexed="64"/>
          </top>
          <bottom style="thin">
            <color indexed="64"/>
          </bottom>
        </border>
      </dxf>
    </rfmt>
    <rcc rId="0" sId="1" s="1" dxf="1">
      <nc r="AE114">
        <f>S114+V114+Y114+AB114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4">
        <f>AE114+AF114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52" sId="1" ref="A114:XFD114" action="deleteRow">
    <undo index="65535" exp="area" ref3D="1" dr="$H$1:$N$1048576" dn="Z_65B035E3_87FA_46C5_996E_864F2C8D0EBC_.wvu.Cols" sId="1"/>
    <rfmt sheetId="1" xfDxf="1" sqref="A114:XFD114" start="0" length="0"/>
    <rfmt sheetId="1" sqref="A11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14" t="inlineStr">
        <is>
          <t>TOTAL SĂLAJ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1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14">
        <f>SUM(S113:S113)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14">
        <f>SUM(T113:T113)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14">
        <f>SUM(U113:U113)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14">
        <f>SUM(V113:V113)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14">
        <f>SUM(W113:W113)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14">
        <f>SUM(X113:X113)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14">
        <f>SUM(Y113:Y113)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14">
        <f>SUM(Z113:Z113)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14">
        <f>SUM(AA113:AA113)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14">
        <f>SUM(AB113:AB113)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14">
        <f>SUM(AC113:AC113)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14">
        <f>SUM(AD113:AD113)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14">
        <f>SUM(AE113:AE113)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14">
        <f>SUM(AF113:AF113)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14">
        <f>SUM(AG113:AG113)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1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14">
        <f>SUM(AI113:AI113)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14">
        <f>SUM(AJ113:AJ113)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14">
        <f>SUM(AK113:AK113)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53" sId="1" ref="A114:XFD114" action="deleteRow">
    <undo index="65535" exp="area" ref3D="1" dr="$H$1:$N$1048576" dn="Z_65B035E3_87FA_46C5_996E_864F2C8D0EBC_.wvu.Cols" sId="1"/>
    <rfmt sheetId="1" xfDxf="1" sqref="A114:XFD114" start="0" length="0"/>
    <rfmt sheetId="1" sqref="A114"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4">
        <f>S114/AE114*100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14" t="inlineStr">
        <is>
          <t>SATU MARE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11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11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14" start="0" length="0">
      <dxf>
        <font>
          <sz val="12"/>
          <color auto="1"/>
          <name val="Calibri"/>
          <family val="2"/>
          <charset val="238"/>
          <scheme val="minor"/>
        </font>
        <numFmt numFmtId="166" formatCode="#,##0.00_ ;\-#,##0.00\ "/>
      </dxf>
    </rfmt>
    <rfmt sheetId="1" sqref="AD114" start="0" length="0">
      <dxf>
        <font>
          <sz val="12"/>
          <color auto="1"/>
          <name val="Calibri"/>
          <family val="2"/>
          <charset val="238"/>
          <scheme val="minor"/>
        </font>
        <numFmt numFmtId="166" formatCode="#,##0.00_ ;\-#,##0.00\ "/>
      </dxf>
    </rfmt>
    <rfmt sheetId="1" s="1" sqref="AE11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1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1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54" sId="1" ref="A116:XFD116" action="deleteRow">
    <undo index="65535" exp="area" dr="AK114:AK116" r="AK117" sId="1"/>
    <undo index="65535" exp="area" dr="AJ114:AJ116" r="AJ117" sId="1"/>
    <undo index="65535" exp="area" dr="AI114:AI116" r="AI117" sId="1"/>
    <undo index="65535" exp="area" dr="AG114:AG116" r="AG117" sId="1"/>
    <undo index="65535" exp="area" dr="AF114:AF116" r="AF117" sId="1"/>
    <undo index="65535" exp="area" dr="AE114:AE116" r="AE117" sId="1"/>
    <undo index="65535" exp="area" dr="AD114:AD116" r="AD117" sId="1"/>
    <undo index="65535" exp="area" dr="AC114:AC116" r="AC117" sId="1"/>
    <undo index="65535" exp="area" dr="AB114:AB116" r="AB117" sId="1"/>
    <undo index="65535" exp="area" dr="AA114:AA116" r="AA117" sId="1"/>
    <undo index="65535" exp="area" dr="Z114:Z116" r="Z117" sId="1"/>
    <undo index="65535" exp="area" dr="Y114:Y116" r="Y117" sId="1"/>
    <undo index="65535" exp="area" dr="X114:X116" r="X117" sId="1"/>
    <undo index="65535" exp="area" dr="W114:W116" r="W117" sId="1"/>
    <undo index="65535" exp="area" dr="V114:V116" r="V117" sId="1"/>
    <undo index="65535" exp="area" dr="U114:U116" r="U117" sId="1"/>
    <undo index="65535" exp="area" dr="T114:T116" r="T117" sId="1"/>
    <undo index="65535" exp="area" dr="S114:S116" r="S117" sId="1"/>
    <undo index="65535" exp="area" ref3D="1" dr="$H$1:$N$1048576" dn="Z_65B035E3_87FA_46C5_996E_864F2C8D0EBC_.wvu.Cols" sId="1"/>
    <rfmt sheetId="1" xfDxf="1" sqref="A116:XFD116" start="0" length="0"/>
    <rfmt sheetId="1" sqref="A11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6"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6">
        <f>S116/AE116*100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6">
        <f>T116+U116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116">
        <f>W116+X116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16">
        <f>AC116+AD116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6" start="0" length="0">
      <dxf>
        <font>
          <sz val="12"/>
          <color auto="1"/>
          <name val="Calibri"/>
          <family val="2"/>
          <charset val="238"/>
          <scheme val="minor"/>
        </font>
        <numFmt numFmtId="166" formatCode="#,##0.00_ ;\-#,##0.00\ "/>
      </dxf>
    </rfmt>
    <rfmt sheetId="1" sqref="AD116" start="0" length="0">
      <dxf>
        <font>
          <sz val="12"/>
          <color auto="1"/>
          <name val="Calibri"/>
          <family val="2"/>
          <charset val="238"/>
          <scheme val="minor"/>
        </font>
        <numFmt numFmtId="166" formatCode="#,##0.00_ ;\-#,##0.00\ "/>
      </dxf>
    </rfmt>
    <rcc rId="0" sId="1" s="1" dxf="1">
      <nc r="AE116">
        <f>S116+V116+Y116+AB116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6">
        <f>AE116+AF116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55" sId="1" ref="A116:XFD116" action="deleteRow">
    <undo index="65535" exp="area" ref3D="1" dr="$H$1:$N$1048576" dn="Z_65B035E3_87FA_46C5_996E_864F2C8D0EBC_.wvu.Cols" sId="1"/>
    <rfmt sheetId="1" xfDxf="1" sqref="A116:XFD116" start="0" length="0"/>
    <rfmt sheetId="1" sqref="A11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16" t="inlineStr">
        <is>
          <t>TOTAL SATU MARE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1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16">
        <f>SUM(S114:S115)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16">
        <f>SUM(T114:T115)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16">
        <f>SUM(U114:U115)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16">
        <f>SUM(V114:V115)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16">
        <f>SUM(W114:W115)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16">
        <f>SUM(X114:X115)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16">
        <f>SUM(Y114:Y115)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16">
        <f>SUM(Z114:Z115)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16">
        <f>SUM(AA114:AA115)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16">
        <f>SUM(AB114:AB115)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16">
        <f>SUM(AC114:AC115)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16">
        <f>SUM(AD114:AD115)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16">
        <f>SUM(AE114:AE115)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16">
        <f>SUM(AF114:AF115)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16">
        <f>SUM(AG114:AG115)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1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16">
        <f>SUM(AI114:AI115)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16">
        <f>SUM(AJ114:AJ115)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16">
        <f>SUM(AK114:AK115)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56" sId="1" ref="A116:XFD116" action="deleteRow">
    <undo index="65535" exp="area" ref3D="1" dr="$H$1:$N$1048576" dn="Z_65B035E3_87FA_46C5_996E_864F2C8D0EBC_.wvu.Cols" sId="1"/>
    <rfmt sheetId="1" xfDxf="1" sqref="A116:XFD116" start="0" length="0"/>
    <rfmt sheetId="1" sqref="A116"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6"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16" t="inlineStr">
        <is>
          <t>SIBIU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11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11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16" start="0" length="0">
      <dxf>
        <font>
          <sz val="12"/>
          <color auto="1"/>
          <name val="Calibri"/>
          <family val="2"/>
          <charset val="238"/>
          <scheme val="minor"/>
        </font>
        <numFmt numFmtId="166" formatCode="#,##0.00_ ;\-#,##0.00\ "/>
      </dxf>
    </rfmt>
    <rfmt sheetId="1" sqref="AD116" start="0" length="0">
      <dxf>
        <font>
          <sz val="12"/>
          <color auto="1"/>
          <name val="Calibri"/>
          <family val="2"/>
          <charset val="238"/>
          <scheme val="minor"/>
        </font>
        <numFmt numFmtId="166" formatCode="#,##0.00_ ;\-#,##0.00\ "/>
      </dxf>
    </rfmt>
    <rfmt sheetId="1" s="1" sqref="AE11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1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1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1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57" sId="1" ref="A118:XFD118" action="deleteRow">
    <undo index="65535" exp="area" dr="AK116:AK118" r="AK119" sId="1"/>
    <undo index="65535" exp="area" dr="AJ116:AJ118" r="AJ119" sId="1"/>
    <undo index="65535" exp="area" dr="AI116:AI118" r="AI119" sId="1"/>
    <undo index="65535" exp="area" dr="AG116:AG118" r="AG119" sId="1"/>
    <undo index="65535" exp="area" dr="AF116:AF118" r="AF119" sId="1"/>
    <undo index="65535" exp="area" dr="AE116:AE118" r="AE119" sId="1"/>
    <undo index="65535" exp="area" dr="AD116:AD118" r="AD119" sId="1"/>
    <undo index="65535" exp="area" dr="AC116:AC118" r="AC119" sId="1"/>
    <undo index="65535" exp="area" dr="AB116:AB118" r="AB119" sId="1"/>
    <undo index="65535" exp="area" dr="AA116:AA118" r="AA119" sId="1"/>
    <undo index="65535" exp="area" dr="Z116:Z118" r="Z119" sId="1"/>
    <undo index="65535" exp="area" dr="Y116:Y118" r="Y119" sId="1"/>
    <undo index="65535" exp="area" dr="X116:X118" r="X119" sId="1"/>
    <undo index="65535" exp="area" dr="W116:W118" r="W119" sId="1"/>
    <undo index="65535" exp="area" dr="V116:V118" r="V119" sId="1"/>
    <undo index="65535" exp="area" dr="U116:U118" r="U119" sId="1"/>
    <undo index="65535" exp="area" dr="T116:T118" r="T119" sId="1"/>
    <undo index="65535" exp="area" dr="S116:S118" r="S119" sId="1"/>
    <undo index="65535" exp="area" ref3D="1" dr="$H$1:$N$1048576" dn="Z_65B035E3_87FA_46C5_996E_864F2C8D0EBC_.wvu.Cols" sId="1"/>
    <rfmt sheetId="1" xfDxf="1" sqref="A118:XFD118" start="0" length="0"/>
    <rfmt sheetId="1" sqref="A11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8"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8">
        <f>S118/AE118*100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8">
        <f>T118+U118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8"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118">
        <f>W118+X118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18"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Y1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8"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18">
        <f>AC118+AD118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18">
        <f>S118+V118+Y118+AB118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8">
        <f>AE118+AF118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58" sId="1" ref="A118:XFD118" action="deleteRow">
    <undo index="65535" exp="area" ref3D="1" dr="$H$1:$N$1048576" dn="Z_65B035E3_87FA_46C5_996E_864F2C8D0EBC_.wvu.Cols" sId="1"/>
    <rfmt sheetId="1" xfDxf="1" sqref="A118:XFD118" start="0" length="0"/>
    <rfmt sheetId="1" sqref="A11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18" t="inlineStr">
        <is>
          <t>TOTAL SIBIU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1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18">
        <f>SUM(S116:S117)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18">
        <f>SUM(T116:T117)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18">
        <f>SUM(U116:U117)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18">
        <f>SUM(V116:V117)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18">
        <f>SUM(W116:W117)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18">
        <f>SUM(X116:X117)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18">
        <f>SUM(Y116:Y117)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18">
        <f>SUM(Z116:Z117)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18">
        <f>SUM(AA116:AA117)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18">
        <f>SUM(AB116:AB117)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18">
        <f>SUM(AC116:AC117)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18">
        <f>SUM(AD116:AD117)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18">
        <f>SUM(AE116:AE117)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18">
        <f>SUM(AF116:AF117)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18">
        <f>SUM(AG116:AG117)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1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18">
        <f>SUM(AI116:AI117)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18">
        <f>SUM(AJ116:AJ117)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18">
        <f>SUM(AK116:AK117)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59" sId="1" ref="A118:XFD118" action="deleteRow">
    <undo index="65535" exp="area" ref3D="1" dr="$H$1:$N$1048576" dn="Z_65B035E3_87FA_46C5_996E_864F2C8D0EBC_.wvu.Cols" sId="1"/>
    <rfmt sheetId="1" xfDxf="1" sqref="A118:XFD118" start="0" length="0"/>
    <rfmt sheetId="1" sqref="A118"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8"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8">
        <f>S118/AE118*100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18" t="inlineStr">
        <is>
          <t>SUCEAVA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8"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V11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18"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Y1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8"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11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11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1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1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1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60" sId="1" ref="A119:XFD119" action="deleteRow">
    <undo index="65535" exp="area" ref3D="1" dr="$H$1:$N$1048576" dn="Z_65B035E3_87FA_46C5_996E_864F2C8D0EBC_.wvu.Cols" sId="1"/>
    <rfmt sheetId="1" xfDxf="1" sqref="A119:XFD119" start="0" length="0"/>
    <rcc rId="0" sId="1" dxf="1">
      <nc r="A119">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19"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9">
        <f>S119/AE119*100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9">
        <f>T119+U119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9"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119">
        <f>W119+X119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19"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Y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9"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9"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19">
        <f>AC119+AD119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19">
        <f>S119+V119+Y119+AB119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9">
        <f>AE119+AF119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61" sId="1" ref="A119:XFD119" action="deleteRow">
    <undo index="65535" exp="area" dr="AK118:AK119" r="AK120" sId="1"/>
    <undo index="65535" exp="area" dr="AJ118:AJ119" r="AJ120" sId="1"/>
    <undo index="65535" exp="area" dr="AI118:AI119" r="AI120" sId="1"/>
    <undo index="65535" exp="area" dr="AG118:AG119" r="AG120" sId="1"/>
    <undo index="65535" exp="area" dr="AF118:AF119" r="AF120" sId="1"/>
    <undo index="65535" exp="area" dr="AE118:AE119" r="AE120" sId="1"/>
    <undo index="65535" exp="area" dr="AD118:AD119" r="AD120" sId="1"/>
    <undo index="65535" exp="area" dr="AC118:AC119" r="AC120" sId="1"/>
    <undo index="65535" exp="area" dr="AB118:AB119" r="AB120" sId="1"/>
    <undo index="65535" exp="area" dr="AA118:AA119" r="AA120" sId="1"/>
    <undo index="65535" exp="area" dr="Z118:Z119" r="Z120" sId="1"/>
    <undo index="65535" exp="area" dr="Y118:Y119" r="Y120" sId="1"/>
    <undo index="65535" exp="area" dr="X118:X119" r="X120" sId="1"/>
    <undo index="65535" exp="area" dr="W118:W119" r="W120" sId="1"/>
    <undo index="65535" exp="area" dr="V118:V119" r="V120" sId="1"/>
    <undo index="65535" exp="area" dr="U118:U119" r="U120" sId="1"/>
    <undo index="65535" exp="area" dr="T118:T119" r="T120" sId="1"/>
    <undo index="65535" exp="area" dr="S118:S119" r="S120" sId="1"/>
    <undo index="65535" exp="area" ref3D="1" dr="$H$1:$N$1048576" dn="Z_65B035E3_87FA_46C5_996E_864F2C8D0EBC_.wvu.Cols" sId="1"/>
    <rfmt sheetId="1" xfDxf="1" sqref="A119:XFD119" start="0" length="0"/>
    <rfmt sheetId="1" sqref="A11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9"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9">
        <f>S119/AE119*100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9">
        <f>T119+U119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9"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119">
        <f>W119+X119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19"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Y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9"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19"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19">
        <f>AC119+AD119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19">
        <f>S119+V119+Y119+AB119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9">
        <f>AE119+AF119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62" sId="1" ref="A119:XFD119" action="deleteRow">
    <undo index="65535" exp="area" ref3D="1" dr="$H$1:$N$1048576" dn="Z_65B035E3_87FA_46C5_996E_864F2C8D0EBC_.wvu.Cols" sId="1"/>
    <rfmt sheetId="1" xfDxf="1" sqref="A119:XFD119" start="0" length="0"/>
    <rfmt sheetId="1" sqref="A11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19" t="inlineStr">
        <is>
          <t>TOTAL SUCEAVA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19">
        <f>SUM(S118:S118)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19">
        <f>SUM(T118:T118)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19">
        <f>SUM(U118:U118)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19">
        <f>SUM(V118:V118)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19">
        <f>SUM(W118:W118)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19">
        <f>SUM(X118:X118)</f>
      </nc>
      <n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19">
        <f>SUM(Y118:Y118)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19">
        <f>SUM(Z118:Z118)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19">
        <f>SUM(AA118:AA118)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19">
        <f>SUM(AB118:AB118)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19">
        <f>SUM(AC118:AC118)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19">
        <f>SUM(AD118:AD118)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19">
        <f>SUM(AE118:AE118)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19">
        <f>SUM(AF118:AF118)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19">
        <f>SUM(AG118:AG118)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19"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19">
        <f>SUM(AI118:AI118)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19">
        <f>SUM(AJ118:AJ118)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19">
        <f>SUM(AK118:AK118)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63" sId="1" ref="A119:XFD119" action="deleteRow">
    <undo index="65535" exp="area" ref3D="1" dr="$H$1:$N$1048576" dn="Z_65B035E3_87FA_46C5_996E_864F2C8D0EBC_.wvu.Cols" sId="1"/>
    <rfmt sheetId="1" xfDxf="1" sqref="A119:XFD119" start="0" length="0"/>
    <rfmt sheetId="1" sqref="A11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19" t="inlineStr">
        <is>
          <t>TELEORMAN</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19"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V1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rder>
      </dxf>
    </rfmt>
    <rfmt sheetId="1" sqref="X119"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Y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rder>
      </dxf>
    </rfmt>
    <rfmt sheetId="1" sqref="Z119"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dxf>
    </rfmt>
    <rfmt sheetId="1" sqref="AA119"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1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1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1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1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64" sId="1" ref="A121:XFD121" action="deleteRow">
    <undo index="65535" exp="area" dr="AK119:AK121" r="AK122" sId="1"/>
    <undo index="65535" exp="area" dr="AJ119:AJ121" r="AJ122" sId="1"/>
    <undo index="65535" exp="area" dr="AI119:AI121" r="AI122" sId="1"/>
    <undo index="65535" exp="area" dr="AG119:AG121" r="AG122" sId="1"/>
    <undo index="65535" exp="area" dr="AF119:AF121" r="AF122" sId="1"/>
    <undo index="65535" exp="area" dr="AE119:AE121" r="AE122" sId="1"/>
    <undo index="65535" exp="area" dr="AD119:AD121" r="AD122" sId="1"/>
    <undo index="65535" exp="area" dr="AC119:AC121" r="AC122" sId="1"/>
    <undo index="65535" exp="area" dr="AB119:AB121" r="AB122" sId="1"/>
    <undo index="65535" exp="area" dr="AA119:AA121" r="AA122" sId="1"/>
    <undo index="65535" exp="area" dr="Z119:Z121" r="Z122" sId="1"/>
    <undo index="65535" exp="area" dr="Y119:Y121" r="Y122" sId="1"/>
    <undo index="65535" exp="area" dr="X119:X121" r="X122" sId="1"/>
    <undo index="65535" exp="area" dr="W119:W121" r="W122" sId="1"/>
    <undo index="65535" exp="area" dr="V119:V121" r="V122" sId="1"/>
    <undo index="65535" exp="area" dr="U119:U121" r="U122" sId="1"/>
    <undo index="65535" exp="area" dr="T119:T121" r="T122" sId="1"/>
    <undo index="65535" exp="area" dr="S119:S121" r="S122" sId="1"/>
    <undo index="65535" exp="area" ref3D="1" dr="$H$1:$N$1048576" dn="Z_65B035E3_87FA_46C5_996E_864F2C8D0EBC_.wvu.Cols" sId="1"/>
    <rfmt sheetId="1" xfDxf="1" sqref="A121:XFD121" start="0" length="0"/>
    <rfmt sheetId="1" sqref="A12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1"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2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21">
        <f>S121/AE121*100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21">
        <f>T121+U121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21"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V121">
        <f>W121+X121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21"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Y121">
        <f>Z121+AA121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2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21"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21">
        <f>AC121+AD121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21">
        <f>S121+V121+Y121+AB121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21">
        <f>AE121+AF121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2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65" sId="1" ref="A121:XFD121" action="deleteRow">
    <undo index="65535" exp="area" ref3D="1" dr="$H$1:$N$1048576" dn="Z_65B035E3_87FA_46C5_996E_864F2C8D0EBC_.wvu.Cols" sId="1"/>
    <rfmt sheetId="1" xfDxf="1" sqref="A121:XFD121" start="0" length="0"/>
    <rfmt sheetId="1" sqref="A12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21" t="inlineStr">
        <is>
          <t>TOTAL TELEORMAN</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2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21">
        <f>SUM(S119:S120)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21">
        <f>SUM(T119:T120)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21">
        <f>SUM(U119:U120)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21">
        <f>SUM(V119:V120)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21">
        <f>SUM(W119:W120)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21">
        <f>SUM(X119:X120)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21">
        <f>SUM(Y119:Y120)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21">
        <f>SUM(Z119:Z120)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21">
        <f>SUM(AA119:AA120)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21">
        <f>SUM(AB119:AB120)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21">
        <f>SUM(AC119:AC120)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21">
        <f>SUM(AD119:AD120)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21">
        <f>SUM(AE119:AE120)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21">
        <f>SUM(AF119:AF120)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21">
        <f>SUM(AG119:AG120)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2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21">
        <f>SUM(AI119:AI120)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21">
        <f>SUM(AJ119:AJ120)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21">
        <f>SUM(AK119:AK120)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66" sId="1" ref="A121:XFD121" action="deleteRow">
    <undo index="65535" exp="area" ref3D="1" dr="$H$1:$N$1048576" dn="Z_65B035E3_87FA_46C5_996E_864F2C8D0EBC_.wvu.Cols" sId="1"/>
    <rfmt sheetId="1" xfDxf="1" sqref="A121:XFD121" start="0" length="0"/>
    <rfmt sheetId="1" sqref="A12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2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21" t="inlineStr">
        <is>
          <t>TIMIȘ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21"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V12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21"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Y1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2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21" start="0" length="0">
      <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12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12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1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2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2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67" sId="1" ref="A124:XFD124" action="deleteRow">
    <undo index="65535" exp="area" ref3D="1" dr="$H$1:$N$1048576" dn="Z_65B035E3_87FA_46C5_996E_864F2C8D0EBC_.wvu.Cols" sId="1"/>
    <rfmt sheetId="1" xfDxf="1" sqref="A124:XFD124" start="0" length="0"/>
    <rfmt sheetId="1" sqref="A12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24" t="inlineStr">
        <is>
          <t>TOTAL TIMIȘ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2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24">
        <f>SUM(S121:S123)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24">
        <f>SUM(T121:T123)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24">
        <f>SUM(U121:U123)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24">
        <f>SUM(V121:V123)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24">
        <f>SUM(W121:W123)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24">
        <f>SUM(X121:X123)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24">
        <f>SUM(Y121:Y123)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24">
        <f>SUM(Z121:Z123)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24">
        <f>SUM(AA121:AA123)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24">
        <f>SUM(AB121:AB123)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24">
        <f>SUM(AC121:AC123)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24">
        <f>SUM(AD121:AD123)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24">
        <f>SUM(AE121:AE123)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24">
        <f>SUM(AF121:AF123)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24">
        <f>SUM(AG121:AG123)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2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24">
        <f>SUM(AI121:AI123)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24">
        <f>SUM(AJ121:AJ123)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24">
        <f>SUM(AK121:AK123)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68" sId="1" ref="A124:XFD124" action="deleteRow">
    <undo index="65535" exp="area" ref3D="1" dr="$H$1:$N$1048576" dn="Z_65B035E3_87FA_46C5_996E_864F2C8D0EBC_.wvu.Cols" sId="1"/>
    <rfmt sheetId="1" xfDxf="1" sqref="A124:XFD124" start="0" length="0"/>
    <rfmt sheetId="1" sqref="A124"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2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2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24" t="inlineStr">
        <is>
          <t>TULCEA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12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2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2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12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12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1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2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2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69" sId="1" ref="A126:XFD126" action="deleteRow">
    <undo index="65535" exp="area" dr="AK124:AK126" r="AK127" sId="1"/>
    <undo index="65535" exp="area" dr="AJ124:AJ126" r="AJ127" sId="1"/>
    <undo index="65535" exp="area" dr="AI124:AI126" r="AI127" sId="1"/>
    <undo index="65535" exp="area" dr="AG124:AG126" r="AG127" sId="1"/>
    <undo index="65535" exp="area" dr="AF124:AF126" r="AF127" sId="1"/>
    <undo index="65535" exp="area" dr="AE124:AE126" r="AE127" sId="1"/>
    <undo index="65535" exp="area" dr="AD124:AD126" r="AD127" sId="1"/>
    <undo index="65535" exp="area" dr="AC124:AC126" r="AC127" sId="1"/>
    <undo index="65535" exp="area" dr="AB124:AB126" r="AB127" sId="1"/>
    <undo index="65535" exp="area" dr="AA124:AA126" r="AA127" sId="1"/>
    <undo index="65535" exp="area" dr="Z124:Z126" r="Z127" sId="1"/>
    <undo index="65535" exp="area" dr="Y124:Y126" r="Y127" sId="1"/>
    <undo index="65535" exp="area" dr="X124:X126" r="X127" sId="1"/>
    <undo index="65535" exp="area" dr="W124:W126" r="W127" sId="1"/>
    <undo index="65535" exp="area" dr="V124:V126" r="V127" sId="1"/>
    <undo index="65535" exp="area" dr="U124:U126" r="U127" sId="1"/>
    <undo index="65535" exp="area" dr="T124:T126" r="T127" sId="1"/>
    <undo index="65535" exp="area" dr="S124:S126" r="S127" sId="1"/>
    <undo index="65535" exp="area" ref3D="1" dr="$H$1:$N$1048576" dn="Z_65B035E3_87FA_46C5_996E_864F2C8D0EBC_.wvu.Cols" sId="1"/>
    <rfmt sheetId="1" xfDxf="1" sqref="A126:XFD126" start="0" length="0"/>
    <rfmt sheetId="1" sqref="A12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6"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26" t="inlineStr">
        <is>
          <t>PUBLICE LOCALE</t>
        </is>
      </nc>
      <n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ndxf>
    </rcc>
    <rfmt sheetId="1" sqref="H1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2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26">
        <f>S126/AE126*100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26">
        <f>T126+U126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126">
        <f>W126+X126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126">
        <f>Z126+AA126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2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2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26">
        <f>AC126+AD126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26">
        <f>S126+V126+Y126+AB126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26">
        <f>AE126+AF126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2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70" sId="1" ref="A126:XFD126" action="deleteRow">
    <undo index="65535" exp="area" ref3D="1" dr="$H$1:$N$1048576" dn="Z_65B035E3_87FA_46C5_996E_864F2C8D0EBC_.wvu.Cols" sId="1"/>
    <rfmt sheetId="1" xfDxf="1" sqref="A126:XFD126" start="0" length="0"/>
    <rfmt sheetId="1" sqref="A12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26" t="inlineStr">
        <is>
          <t>TOTAL TULCEA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2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26">
        <f>SUM(S124:S125)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26">
        <f>SUM(T124:T125)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26">
        <f>SUM(U124:U125)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26">
        <f>SUM(V124:V125)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26">
        <f>SUM(W124:W125)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26">
        <f>SUM(X124:X125)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26">
        <f>SUM(Y124:Y125)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26">
        <f>SUM(Z124:Z125)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26">
        <f>SUM(AA124:AA125)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26">
        <f>SUM(AB124:AB125)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26">
        <f>SUM(AC124:AC125)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26">
        <f>SUM(AD124:AD125)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26">
        <f>SUM(AE124:AE125)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26">
        <f>SUM(AF124:AF125)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26">
        <f>SUM(AG124:AG125)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2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26">
        <f>SUM(AI124:AI125)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26">
        <f>SUM(AJ124:AJ125)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26">
        <f>SUM(AK124:AK125)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71" sId="1" ref="A126:XFD126" action="deleteRow">
    <undo index="65535" exp="area" ref3D="1" dr="$H$1:$N$1048576" dn="Z_65B035E3_87FA_46C5_996E_864F2C8D0EBC_.wvu.Cols" sId="1"/>
    <rfmt sheetId="1" xfDxf="1" sqref="A126:XFD126" start="0" length="0"/>
    <rfmt sheetId="1" sqref="A126"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6"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2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26" t="inlineStr">
        <is>
          <t>VÂLCEA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12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T1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12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2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2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12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12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1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2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2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72" sId="1" ref="A128:XFD128" action="deleteRow">
    <undo index="65535" exp="area" dr="AK126:AK128" r="AK129" sId="1"/>
    <undo index="65535" exp="area" dr="AJ126:AJ128" r="AJ129" sId="1"/>
    <undo index="65535" exp="area" dr="AI126:AI128" r="AI129" sId="1"/>
    <undo index="65535" exp="area" dr="AG126:AG128" r="AG129" sId="1"/>
    <undo index="65535" exp="area" dr="AF126:AF128" r="AF129" sId="1"/>
    <undo index="65535" exp="area" dr="AE126:AE128" r="AE129" sId="1"/>
    <undo index="65535" exp="area" dr="AD126:AD128" r="AD129" sId="1"/>
    <undo index="65535" exp="area" dr="AC126:AC128" r="AC129" sId="1"/>
    <undo index="65535" exp="area" dr="AB126:AB128" r="AB129" sId="1"/>
    <undo index="65535" exp="area" dr="AA126:AA128" r="AA129" sId="1"/>
    <undo index="65535" exp="area" dr="Z126:Z128" r="Z129" sId="1"/>
    <undo index="65535" exp="area" dr="Y126:Y128" r="Y129" sId="1"/>
    <undo index="65535" exp="area" dr="X126:X128" r="X129" sId="1"/>
    <undo index="65535" exp="area" dr="W126:W128" r="W129" sId="1"/>
    <undo index="65535" exp="area" dr="V126:V128" r="V129" sId="1"/>
    <undo index="65535" exp="area" dr="U126:U128" r="U129" sId="1"/>
    <undo index="65535" exp="area" dr="T126:T128" r="T129" sId="1"/>
    <undo index="65535" exp="area" dr="S126:S128" r="S129" sId="1"/>
    <undo index="65535" exp="area" ref3D="1" dr="$H$1:$N$1048576" dn="Z_65B035E3_87FA_46C5_996E_864F2C8D0EBC_.wvu.Cols" sId="1"/>
    <rfmt sheetId="1" xfDxf="1" sqref="A128:XFD128" start="0" length="0"/>
    <rfmt sheetId="1" sqref="A12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8"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28">
        <f>S128/AE128*100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28">
        <f>T128+U128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128">
        <f>W128+X128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128">
        <f>Z128+AA128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2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2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28">
        <f>AC128+AD128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28">
        <f>S128+V128+Y128+AB128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28">
        <f>AE128+AF128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2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73" sId="1" ref="A128:XFD128" action="deleteRow">
    <undo index="65535" exp="area" ref3D="1" dr="$H$1:$N$1048576" dn="Z_65B035E3_87FA_46C5_996E_864F2C8D0EBC_.wvu.Cols" sId="1"/>
    <rfmt sheetId="1" xfDxf="1" sqref="A128:XFD128" start="0" length="0"/>
    <rfmt sheetId="1" sqref="A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28" t="inlineStr">
        <is>
          <t>TOTAL VÂLCEA</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1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28">
        <f>SUM(S126:S127)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28">
        <f>SUM(T126:T127)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28">
        <f>SUM(U126:U127)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28">
        <f>SUM(V126:V127)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28">
        <f>SUM(W126:W127)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28">
        <f>SUM(X126:X127)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28">
        <f>SUM(Y126:Y127)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28">
        <f>SUM(Z126:Z127)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28">
        <f>SUM(AA126:AA127)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28">
        <f>SUM(AB126:AB127)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28">
        <f>SUM(AC126:AC127)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28">
        <f>SUM(AD126:AD127)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28">
        <f>SUM(AE126:AE127)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28">
        <f>SUM(AF126:AF127)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28">
        <f>SUM(AG126:AG127)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2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28">
        <f>SUM(AI126:AI127)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28">
        <f>SUM(AJ126:AJ127)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28">
        <f>SUM(AK126:AK127)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74" sId="1" ref="A128:XFD128" action="deleteRow">
    <undo index="65535" exp="area" ref3D="1" dr="$H$1:$N$1048576" dn="Z_65B035E3_87FA_46C5_996E_864F2C8D0EBC_.wvu.Cols" sId="1"/>
    <rfmt sheetId="1" xfDxf="1" sqref="A128:XFD128" start="0" length="0"/>
    <rfmt sheetId="1" sqref="A12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8"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28" t="inlineStr">
        <is>
          <t>VASLUI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12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2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2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28">
        <f>AC128+AD128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28">
        <f>S128+V128+Y128+AB128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28">
        <f>AE128+AF128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2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75" sId="1" ref="A134:XFD134" action="deleteRow">
    <undo index="65535" exp="area" ref3D="1" dr="$H$1:$N$1048576" dn="Z_65B035E3_87FA_46C5_996E_864F2C8D0EBC_.wvu.Cols" sId="1"/>
    <rfmt sheetId="1" xfDxf="1" sqref="A134:XFD134" start="0" length="0"/>
    <rfmt sheetId="1" sqref="A134"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3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3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134"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13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3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34"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3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3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34">
        <f>S134/AE134*100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34"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34">
        <f>T134+U134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1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U1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V134">
        <f>W134+X134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X1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Y134">
        <f>Z134+AA134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rder>
      </ndxf>
    </rcc>
    <rfmt sheetId="1" sqref="Z134" start="0" length="0">
      <dxf>
        <numFmt numFmtId="166" formatCode="#,##0.00_ ;\-#,##0.00\ "/>
        <border outline="0">
          <left style="thin">
            <color indexed="64"/>
          </left>
          <right style="thin">
            <color indexed="64"/>
          </right>
          <top style="thin">
            <color indexed="64"/>
          </top>
          <bottom style="thin">
            <color indexed="64"/>
          </bottom>
        </border>
      </dxf>
    </rfmt>
    <rfmt sheetId="1" sqref="AA1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B134">
        <f>AC134+AD134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D1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E134">
        <f>S134+V134+Y134+AB134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34">
        <f>AE134+AF134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3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34"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3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3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176" sId="1" ref="A134:XFD134" action="deleteRow">
    <undo index="65535" exp="area" dr="AK128:AK134" r="AK135" sId="1"/>
    <undo index="65535" exp="area" dr="AJ128:AJ134" r="AJ135" sId="1"/>
    <undo index="65535" exp="area" dr="AI128:AI134" r="AI135" sId="1"/>
    <undo index="65535" exp="area" dr="AG128:AG134" r="AG135" sId="1"/>
    <undo index="65535" exp="area" dr="AF128:AF134" r="AF135" sId="1"/>
    <undo index="65535" exp="area" dr="AE128:AE134" r="AE135" sId="1"/>
    <undo index="65535" exp="area" dr="AD128:AD134" r="AD135" sId="1"/>
    <undo index="65535" exp="area" dr="AC128:AC134" r="AC135" sId="1"/>
    <undo index="65535" exp="area" dr="AB128:AB134" r="AB135" sId="1"/>
    <undo index="65535" exp="area" dr="AA128:AA134" r="AA135" sId="1"/>
    <undo index="65535" exp="area" dr="Z128:Z134" r="Z135" sId="1"/>
    <undo index="65535" exp="area" dr="Y128:Y134" r="Y135" sId="1"/>
    <undo index="65535" exp="area" dr="X128:X134" r="X135" sId="1"/>
    <undo index="65535" exp="area" dr="W128:W134" r="W135" sId="1"/>
    <undo index="65535" exp="area" dr="V128:V134" r="V135" sId="1"/>
    <undo index="65535" exp="area" dr="U128:U134" r="U135" sId="1"/>
    <undo index="65535" exp="area" dr="T128:T134" r="T135" sId="1"/>
    <undo index="65535" exp="area" dr="S128:S134" r="S135" sId="1"/>
    <undo index="65535" exp="area" ref3D="1" dr="$H$1:$N$1048576" dn="Z_65B035E3_87FA_46C5_996E_864F2C8D0EBC_.wvu.Cols" sId="1"/>
    <rfmt sheetId="1" xfDxf="1" sqref="A134:XFD134" start="0" length="0"/>
    <rfmt sheetId="1" sqref="A134"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34"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3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134"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13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3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34"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3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3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34">
        <f>S134/AE134*100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34"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3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34">
        <f>T134+U134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1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U1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V134">
        <f>W134+X134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W1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X1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Y134">
        <f>Z134+AA134</f>
      </nc>
      <ndxf>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134" start="0" length="0">
      <dxf>
        <numFmt numFmtId="166" formatCode="#,##0.00_ ;\-#,##0.00\ "/>
        <border outline="0">
          <left style="thin">
            <color indexed="64"/>
          </left>
          <right style="thin">
            <color indexed="64"/>
          </right>
          <top style="thin">
            <color indexed="64"/>
          </top>
          <bottom style="thin">
            <color indexed="64"/>
          </bottom>
        </border>
      </dxf>
    </rfmt>
    <rfmt sheetId="1" sqref="AA1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B134">
        <f>AC134+AD134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D1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E134">
        <f>S134+V134+Y134+AB134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3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34">
        <f>AE134+AF134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3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34"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3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3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177" sId="1" ref="A134:XFD134" action="deleteRow">
    <undo index="65535" exp="area" ref3D="1" dr="$H$1:$N$1048576" dn="Z_65B035E3_87FA_46C5_996E_864F2C8D0EBC_.wvu.Cols" sId="1"/>
    <rfmt sheetId="1" xfDxf="1" sqref="A134:XFD134" start="0" length="0"/>
    <rfmt sheetId="1" sqref="A13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34" t="inlineStr">
        <is>
          <t>TOTAL VASLUI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3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34">
        <f>SUM(S128:S133)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34">
        <f>SUM(T128:T133)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34">
        <f>SUM(U128:U133)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34">
        <f>SUM(V128:V133)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34">
        <f>SUM(W128:W133)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34">
        <f>SUM(X128:X133)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34">
        <f>SUM(Y128:Y133)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34">
        <f>SUM(Z128:Z133)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34">
        <f>SUM(AA128:AA133)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34">
        <f>SUM(AB128:AB133)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34">
        <f>SUM(AC128:AC133)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34">
        <f>SUM(AD128:AD133)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34">
        <f>SUM(AE128:AE133)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34">
        <f>SUM(AF128:AF133)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34">
        <f>SUM(AG128:AG133)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3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34">
        <f>SUM(AI128:AI133)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34">
        <f>SUM(AJ128:AJ133)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34">
        <f>SUM(AK128:AK133)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78" sId="1" ref="A136:XFD136" action="deleteRow">
    <undo index="65535" exp="area" dr="AK136:AK138" r="AK139" sId="1"/>
    <undo index="65535" exp="area" dr="AJ136:AJ138" r="AJ139" sId="1"/>
    <undo index="65535" exp="area" dr="AI136:AI138" r="AI139" sId="1"/>
    <undo index="65535" exp="area" ref3D="1" dr="$H$1:$N$1048576" dn="Z_65B035E3_87FA_46C5_996E_864F2C8D0EBC_.wvu.Cols" sId="1"/>
    <rfmt sheetId="1" xfDxf="1" sqref="A136:XFD136" start="0" length="0">
      <dxf/>
    </rfmt>
    <rcc rId="0" sId="1" dxf="1">
      <nc r="A136">
        <v>3</v>
      </nc>
      <ndxf>
        <font>
          <sz val="12"/>
          <color auto="1"/>
        </font>
        <alignment horizontal="center" vertical="center" wrapText="1"/>
        <border outline="0">
          <left style="medium">
            <color indexed="64"/>
          </left>
          <right style="thin">
            <color indexed="64"/>
          </right>
          <top style="thin">
            <color indexed="64"/>
          </top>
          <bottom style="thin">
            <color indexed="64"/>
          </bottom>
        </border>
      </ndxf>
    </rcc>
    <rfmt sheetId="1" sqref="B136" start="0" length="0">
      <dxf>
        <font>
          <sz val="12"/>
          <color auto="1"/>
        </font>
        <alignment horizontal="center" vertical="center" wrapText="1"/>
        <border outline="0">
          <right style="thin">
            <color indexed="64"/>
          </right>
          <top style="thin">
            <color indexed="64"/>
          </top>
          <bottom style="thin">
            <color indexed="64"/>
          </bottom>
        </border>
      </dxf>
    </rfmt>
    <rfmt sheetId="1" sqref="C136"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D136"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E136"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F136"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G136"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136" start="0" length="0">
      <dxf>
        <alignment vertical="top" wrapText="1"/>
      </dxf>
    </rfmt>
    <rfmt sheetId="1" sqref="I136"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136"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136"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36"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36">
        <f>S136/AE136*100</f>
      </nc>
      <n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36"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136"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136"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136"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R136"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136">
        <f>T136+U136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36"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fmt sheetId="1" sqref="U136"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cc rId="0" sId="1" s="1" dxf="1">
      <nc r="V136">
        <f>W136+X136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36"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fmt sheetId="1" sqref="X136"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fmt sheetId="1" s="1" sqref="Y136" start="0" length="0">
      <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136"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36"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136" start="0" length="0">
      <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36"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fmt sheetId="1" sqref="AD136" start="0" length="0">
      <dxf>
        <font>
          <sz val="12"/>
          <color auto="1"/>
        </font>
        <alignment horizontal="right" vertical="center" wrapText="1"/>
        <border outline="0">
          <left style="thin">
            <color indexed="64"/>
          </left>
          <right style="thin">
            <color indexed="64"/>
          </right>
          <top style="thin">
            <color indexed="64"/>
          </top>
          <bottom style="thin">
            <color indexed="64"/>
          </bottom>
        </border>
      </dxf>
    </rfmt>
    <rfmt sheetId="1" s="1" sqref="AE136" start="0" length="0">
      <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136"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36" start="0" length="0">
      <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36"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36"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dxf="1" numFmtId="4">
      <nc r="AJ136">
        <v>0</v>
      </nc>
      <n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umFmtId="4">
      <nc r="AK136">
        <v>0</v>
      </nc>
      <n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79" sId="1" ref="A136:XFD136" action="deleteRow">
    <undo index="65535" exp="area" dr="AK136:AK137" r="AK138" sId="1"/>
    <undo index="65535" exp="area" dr="AJ136:AJ137" r="AJ138" sId="1"/>
    <undo index="65535" exp="area" dr="AI136:AI137" r="AI138" sId="1"/>
    <undo index="65535" exp="area" ref3D="1" dr="$H$1:$N$1048576" dn="Z_65B035E3_87FA_46C5_996E_864F2C8D0EBC_.wvu.Cols" sId="1"/>
    <rfmt sheetId="1" xfDxf="1" sqref="A136:XFD136" start="0" length="0"/>
    <rcc rId="0" sId="1" dxf="1">
      <nc r="A136">
        <v>4</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36"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3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3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3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13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3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36">
        <f>S136/AE136*100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36">
        <f>T136+U136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136">
        <f>W136+X136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136">
        <f>Z136+AA136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13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3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13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13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13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3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3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3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3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3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80" sId="1" ref="A136:XFD136" action="deleteRow">
    <undo index="65535" exp="area" dr="AK136" r="AK137" sId="1"/>
    <undo index="65535" exp="area" dr="AJ136" r="AJ137" sId="1"/>
    <undo index="65535" exp="area" dr="AI136" r="AI137" sId="1"/>
    <undo index="65535" exp="area" dr="AG134:AG136" r="AG137" sId="1"/>
    <undo index="65535" exp="area" dr="AF134:AF136" r="AF137" sId="1"/>
    <undo index="65535" exp="area" dr="AE134:AE136" r="AE137" sId="1"/>
    <undo index="65535" exp="area" dr="AD134:AD136" r="AD137" sId="1"/>
    <undo index="65535" exp="area" dr="AC134:AC136" r="AC137" sId="1"/>
    <undo index="65535" exp="area" dr="AB134:AB136" r="AB137" sId="1"/>
    <undo index="65535" exp="area" dr="AA134:AA136" r="AA137" sId="1"/>
    <undo index="65535" exp="area" dr="Z134:Z136" r="Z137" sId="1"/>
    <undo index="65535" exp="area" dr="Y134:Y136" r="Y137" sId="1"/>
    <undo index="65535" exp="area" dr="X134:X136" r="X137" sId="1"/>
    <undo index="65535" exp="area" dr="W134:W136" r="W137" sId="1"/>
    <undo index="65535" exp="area" dr="V134:V136" r="V137" sId="1"/>
    <undo index="65535" exp="area" dr="U134:U136" r="U137" sId="1"/>
    <undo index="65535" exp="area" dr="T134:T136" r="T137" sId="1"/>
    <undo index="65535" exp="area" dr="S134:S136" r="S137" sId="1"/>
    <undo index="65535" exp="area" ref3D="1" dr="$H$1:$N$1048576" dn="Z_65B035E3_87FA_46C5_996E_864F2C8D0EBC_.wvu.Cols" sId="1"/>
    <rfmt sheetId="1" xfDxf="1" sqref="A136:XFD136" start="0" length="0"/>
    <rfmt sheetId="1" sqref="A13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3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3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3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3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36">
        <f>S136/AE136*100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36">
        <f>T136+U136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136">
        <f>W136+X136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136">
        <f>Z136+AA136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13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3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36">
        <f>AC136+AD136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36">
        <f>S136+V136+Y136+AB136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3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36">
        <f>AE136+AF136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3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3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3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3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81" sId="1" ref="A136:XFD136" action="deleteRow">
    <undo index="65535" exp="area" ref3D="1" dr="$H$1:$N$1048576" dn="Z_65B035E3_87FA_46C5_996E_864F2C8D0EBC_.wvu.Cols" sId="1"/>
    <rfmt sheetId="1" xfDxf="1" sqref="A136:XFD136" start="0" length="0"/>
    <rfmt sheetId="1" sqref="A13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36" t="inlineStr">
        <is>
          <t>TOTAL VRANCEA</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13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3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36">
        <f>SUM(S134:S135)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36">
        <f>SUM(T134:T135)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36">
        <f>SUM(U134:U135)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36">
        <f>SUM(V134:V135)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36">
        <f>SUM(W134:W135)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36">
        <f>SUM(X134:X135)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36">
        <f>SUM(Y134:Y135)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36">
        <f>SUM(Z134:Z135)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36">
        <f>SUM(AA134:AA135)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36">
        <f>SUM(AB134:AB135)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36">
        <f>SUM(AC134:AC135)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36">
        <f>SUM(AD134:AD135)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36">
        <f>SUM(AE134:AE135)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36">
        <f>SUM(AF134:AF135)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36">
        <f>SUM(AG134:AG135)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3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36">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36">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36">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82" sId="1" ref="A136:XFD136" action="deleteRow">
    <undo index="65535" exp="area" ref3D="1" dr="$H$1:$N$1048576" dn="Z_65B035E3_87FA_46C5_996E_864F2C8D0EBC_.wvu.Cols" sId="1"/>
    <rfmt sheetId="1" xfDxf="1" sqref="A136:XFD136" start="0" length="0"/>
    <rfmt sheetId="1" sqref="A13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36"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3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3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3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3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36" t="inlineStr">
        <is>
          <t xml:space="preserve"> Proiect cu acoperire națională</t>
        </is>
      </nc>
      <ndxf>
        <font>
          <b/>
          <sz val="12"/>
          <color auto="1"/>
          <name val="Calibri"/>
          <family val="2"/>
          <charset val="238"/>
          <scheme val="minor"/>
        </font>
        <alignment horizontal="center" vertical="center"/>
        <border outline="0">
          <left style="thin">
            <color indexed="64"/>
          </left>
          <right style="thin">
            <color indexed="64"/>
          </right>
          <top style="thin">
            <color indexed="64"/>
          </top>
          <bottom style="thin">
            <color indexed="64"/>
          </bottom>
        </border>
      </ndxf>
    </rcc>
    <rfmt sheetId="1" sqref="P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3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V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3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3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36">
        <f>AC136+AD136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3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36">
        <f>S136+V136+Y136+AB136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3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36">
        <f>AE136+AF136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3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3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3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3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6183" sId="1" ref="A319:XFD319" action="deleteRow">
    <undo index="65535" exp="area" ref3D="1" dr="$H$1:$N$1048576" dn="Z_65B035E3_87FA_46C5_996E_864F2C8D0EBC_.wvu.Cols" sId="1"/>
    <rfmt sheetId="1" xfDxf="1" sqref="A319:XFD319" start="0" length="0"/>
    <rfmt sheetId="1" sqref="A31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9"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319" start="0" length="0">
      <dxf>
        <font>
          <sz val="12"/>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319"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T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U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V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W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Y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Z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B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C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D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E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G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31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1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184" sId="1" ref="A319:XFD319" action="deleteRow">
    <undo index="65535" exp="area" ref3D="1" dr="$H$1:$N$1048576" dn="Z_65B035E3_87FA_46C5_996E_864F2C8D0EBC_.wvu.Cols" sId="1"/>
    <rfmt sheetId="1" xfDxf="1" sqref="A319:XFD319" start="0" length="0"/>
    <rfmt sheetId="1" sqref="A31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9"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319" start="0" length="0">
      <dxf>
        <font>
          <sz val="12"/>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319"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T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U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V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W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Y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Z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B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C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D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E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G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31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1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185" sId="1" ref="A319:XFD319" action="deleteRow">
    <undo index="65535" exp="area" ref3D="1" dr="$H$1:$N$1048576" dn="Z_65B035E3_87FA_46C5_996E_864F2C8D0EBC_.wvu.Cols" sId="1"/>
    <rfmt sheetId="1" xfDxf="1" sqref="A319:XFD319" start="0" length="0"/>
    <rfmt sheetId="1" sqref="A31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9"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319" start="0" length="0">
      <dxf>
        <font>
          <sz val="12"/>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319"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T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U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V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W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Y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Z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B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C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D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E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G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31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1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186" sId="1" ref="A319:XFD319" action="deleteRow">
    <undo index="65535" exp="area" ref3D="1" dr="$H$1:$N$1048576" dn="Z_65B035E3_87FA_46C5_996E_864F2C8D0EBC_.wvu.Cols" sId="1"/>
    <rfmt sheetId="1" xfDxf="1" sqref="A319:XFD319" start="0" length="0"/>
    <rfmt sheetId="1" sqref="A31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9"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319" start="0" length="0">
      <dxf>
        <font>
          <sz val="12"/>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319"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T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U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V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W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Y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Z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B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C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D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E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G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31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1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187" sId="1" ref="A319:XFD319" action="deleteRow">
    <undo index="65535" exp="area" ref3D="1" dr="$H$1:$N$1048576" dn="Z_65B035E3_87FA_46C5_996E_864F2C8D0EBC_.wvu.Cols" sId="1"/>
    <rfmt sheetId="1" xfDxf="1" sqref="A319:XFD319" start="0" length="0"/>
    <rfmt sheetId="1" sqref="A31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9"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319" start="0" length="0">
      <dxf>
        <font>
          <sz val="12"/>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319"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T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U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V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W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Y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Z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B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C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D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E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G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31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1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188" sId="1" ref="A319:XFD319" action="deleteRow">
    <undo index="65535" exp="area" ref3D="1" dr="$H$1:$N$1048576" dn="Z_65B035E3_87FA_46C5_996E_864F2C8D0EBC_.wvu.Cols" sId="1"/>
    <rfmt sheetId="1" xfDxf="1" sqref="A319:XFD319" start="0" length="0"/>
    <rfmt sheetId="1" sqref="A31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319"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9"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319"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319"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19">
        <f>S319/AE319*100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19">
        <f>T319+U319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T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U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V319">
        <f>W319+X319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W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Y319">
        <f>Z319+AA319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Z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B319">
        <f>AC319+AD319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D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E319">
        <f>S319+V319+Y319+AB319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319">
        <f>AE319+AF319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1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1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189" sId="1" ref="A319:XFD319" action="deleteRow">
    <undo index="65535" exp="area" dr="AG136:AG319" r="AG320" sId="1"/>
    <undo index="65535" exp="area" dr="AF136:AF319" r="AF320" sId="1"/>
    <undo index="65535" exp="area" dr="AE136:AE319" r="AE320" sId="1"/>
    <undo index="65535" exp="area" dr="AD136:AD319" r="AD320" sId="1"/>
    <undo index="65535" exp="area" dr="AC136:AC319" r="AC320" sId="1"/>
    <undo index="65535" exp="area" dr="AB136:AB319" r="AB320" sId="1"/>
    <undo index="65535" exp="area" dr="AA136:AA319" r="AA320" sId="1"/>
    <undo index="65535" exp="area" dr="Z136:Z319" r="Z320" sId="1"/>
    <undo index="65535" exp="area" dr="Y136:Y319" r="Y320" sId="1"/>
    <undo index="65535" exp="area" dr="X136:X319" r="X320" sId="1"/>
    <undo index="65535" exp="area" dr="W136:W319" r="W320" sId="1"/>
    <undo index="65535" exp="area" dr="V136:V319" r="V320" sId="1"/>
    <undo index="65535" exp="area" dr="U136:U319" r="U320" sId="1"/>
    <undo index="65535" exp="area" dr="T136:T319" r="T320" sId="1"/>
    <undo index="65535" exp="area" dr="S136:S319" r="S320" sId="1"/>
    <undo index="65535" exp="area" ref3D="1" dr="$H$1:$N$1048576" dn="Z_65B035E3_87FA_46C5_996E_864F2C8D0EBC_.wvu.Cols" sId="1"/>
    <rfmt sheetId="1" xfDxf="1" sqref="A319:XFD319" start="0" length="0"/>
    <rfmt sheetId="1" sqref="A31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319"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31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9"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319"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319"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19">
        <f>S319/AE319*100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19">
        <f>T319+U319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U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V319">
        <f>W319+X319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W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X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Y319">
        <f>Z319+AA319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A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B319">
        <f>AC319+AD319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D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E319">
        <f>S319+V319+Y319+AB319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319">
        <f>AE319+AF319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1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1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6190" sId="1" ref="A319:XFD319" action="deleteRow">
    <undo index="65535" exp="area" ref3D="1" dr="$A$7:$AK$319" dn="Z_7C1B4D6D_D666_48DD_AB17_E00791B6F0B6_.wvu.FilterData" sId="1"/>
    <undo index="65535" exp="area" ref3D="1" dr="$A$1:$AK$319" dn="Z_0781B6C2_B440_4971_9809_BD16245A70FD_.wvu.FilterData" sId="1"/>
    <undo index="65535" exp="area" ref3D="1" dr="$A$7:$AK$319" dn="Z_340EDCDE_FAE5_4319_AEAD_F8264DCA5D27_.wvu.FilterData" sId="1"/>
    <undo index="65535" exp="area" ref3D="1" dr="$A$1:$AK$319" dn="Z_65C35D6D_934F_4431_BA92_90255FC17BA4_.wvu.FilterData" sId="1"/>
    <undo index="65535" exp="area" ref3D="1" dr="$A$3:$AK$319" dn="Z_250231BB_5F02_4B46_B1CA_B904A9B40BA2_.wvu.FilterData" sId="1"/>
    <undo index="65535" exp="area" ref3D="1" dr="$A$1:$AK$319" dn="Z_471339A8_E0FA_4CA1_8194_04936068CF02_.wvu.FilterData" sId="1"/>
    <undo index="65535" exp="area" ref3D="1" dr="$A$7:$AK$319" dn="Z_2A657C48_B241_4C19_9A74_98ECFC665F2A_.wvu.FilterData" sId="1"/>
    <undo index="65535" exp="area" ref3D="1" dr="$A$6:$AK$319" dn="Z_65B035E3_87FA_46C5_996E_864F2C8D0EBC_.wvu.FilterData" sId="1"/>
    <undo index="65535" exp="area" ref3D="1" dr="$H$1:$N$1048576" dn="Z_65B035E3_87FA_46C5_996E_864F2C8D0EBC_.wvu.Cols" sId="1"/>
    <undo index="65535" exp="area" ref3D="1" dr="$A$1:$AK$319" dn="Z_901F9774_8BE7_424D_87C2_1026F3FA2E93_.wvu.FilterData" sId="1"/>
    <undo index="65535" exp="area" ref3D="1" dr="$A$1:$AK$319" dn="Z_9980B309_0131_4577_BF29_212714399FDF_.wvu.FilterData" sId="1"/>
    <undo index="65535" exp="area" ref3D="1" dr="$A$6:$AK$319" dn="Z_B31B819C_CFEB_4B80_9AED_AC603C39BE78_.wvu.FilterData" sId="1"/>
    <undo index="65535" exp="area" ref3D="1" dr="$A$7:$AK$319" dn="Z_B5BED753_4D8C_498E_8AE1_A08F7C0956F7_.wvu.FilterData" sId="1"/>
    <undo index="65535" exp="area" ref3D="1" dr="$A$6:$AK$319" dn="Z_DB41C7D7_14F0_4834_A7BD_0F1115A89C8E_.wvu.FilterData" sId="1"/>
    <undo index="65535" exp="area" ref3D="1" dr="$A$6:$AK$319" dn="Z_D56F5ED6_74F2_4AA3_9A98_EE5750FE63AF_.wvu.FilterData" sId="1"/>
    <undo index="65535" exp="area" ref3D="1" dr="$A$1:$AK$319" dn="Z_C408A2F1_296F_4EAD_B15B_336D73846FDD_.wvu.FilterData" sId="1"/>
    <undo index="65535" exp="area" ref3D="1" dr="$A$7:$AK$319" dn="Z_D1981FDB_7063_4FCF_8DD5_A549E616E6FF_.wvu.FilterData" sId="1"/>
    <undo index="65535" exp="area" ref3D="1" dr="$A$6:$AK$319" dn="Z_EEA37434_2D22_478B_B49F_C3E8CD4AC2E1_.wvu.FilterData" sId="1"/>
    <undo index="65535" exp="area" ref3D="1" dr="$A$7:$AK$319" dn="Z_E875C76B_3648_4C9A_A6B2_C3654837AAAC_.wvu.FilterData" sId="1"/>
    <undo index="65535" exp="area" ref3D="1" dr="$A$7:$AK$319" dn="Z_DAD27C7B_8B8A_46CB_98B5_59B1D1EFC319_.wvu.FilterData" sId="1"/>
    <undo index="65535" exp="area" ref3D="1" dr="$A$1:$AK$319" dn="Z_DB51BB9F_5710_40B0_80E7_39B059BFD11D_.wvu.FilterData" sId="1"/>
    <rfmt sheetId="1" xfDxf="1" sqref="A319:XFD319" start="0" length="0"/>
    <rfmt sheetId="1" sqref="A31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C31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D31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E31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F31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cc rId="0" sId="1" dxf="1">
      <nc r="G319" t="inlineStr">
        <is>
          <t>TOTAL - ACOPERIRE NAȚIONALĂ</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3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319">
        <f>SUM(S136:S318)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319">
        <f>SUM(T136:T318)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319">
        <f>SUM(U136:U318)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319">
        <f>SUM(V136:V318)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319">
        <f>SUM(W136:W318)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319">
        <f>SUM(X136:X318)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319">
        <f>SUM(Y136:Y318)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319">
        <f>SUM(Z136:Z318)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319">
        <f>SUM(AA136:AA318)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319">
        <f>SUM(AB136:AB318)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319">
        <f>SUM(AC136:AC318)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319">
        <f>SUM(AD136:AD318)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319">
        <f>SUM(AE136:AE318)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319">
        <f>SUM(AF136:AF318)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319">
        <f>SUM(AG136:AG318)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319">
        <f>SUM(AH136:AH303)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319">
        <f>SUM(AI136:AI303)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319">
        <f>SUM(AJ136:AJ307)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319">
        <f>SUM(AK136:AK307)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6191" sId="1" ref="A319:XFD319" action="deleteRow">
    <undo index="65535" exp="area" dr="$F$7:$F$319" r="AK344" sId="1"/>
    <undo index="0" exp="area" dr="AK$7:AK$319" r="AK344" sId="1"/>
    <undo index="65535" exp="area" dr="$F$7:$F$319" r="AJ344" sId="1"/>
    <undo index="0" exp="area" dr="AJ$7:AJ$319" r="AJ344" sId="1"/>
    <undo index="65535" exp="area" dr="$F$7:$F$319" r="AG344" sId="1"/>
    <undo index="0" exp="area" dr="AG$7:AG$319" r="AG344" sId="1"/>
    <undo index="65535" exp="area" dr="$F$7:$F$319" r="AF344" sId="1"/>
    <undo index="0" exp="area" dr="AF$7:AF$319" r="AF344" sId="1"/>
    <undo index="65535" exp="area" dr="$F$7:$F$319" r="AE344" sId="1"/>
    <undo index="0" exp="area" dr="AE$7:AE$319" r="AE344" sId="1"/>
    <undo index="65535" exp="area" dr="$F$7:$F$319" r="AD344" sId="1"/>
    <undo index="0" exp="area" dr="AD$7:AD$319" r="AD344" sId="1"/>
    <undo index="65535" exp="area" dr="$F$7:$F$319" r="AC344" sId="1"/>
    <undo index="0" exp="area" dr="AC$7:AC$319" r="AC344" sId="1"/>
    <undo index="65535" exp="area" dr="$F$7:$F$319" r="AB344" sId="1"/>
    <undo index="0" exp="area" dr="AB$7:AB$319" r="AB344" sId="1"/>
    <undo index="65535" exp="area" dr="$F$136:$F$319" r="AA344" sId="1"/>
    <undo index="0" exp="area" dr="AA$136:AA$319" r="AA344" sId="1"/>
    <undo index="65535" exp="area" dr="$F$136:$F$319" r="Z344" sId="1"/>
    <undo index="0" exp="area" dr="Z$136:Z$319" r="Z344" sId="1"/>
    <undo index="65535" exp="area" dr="$F$136:$F$319" r="Y344" sId="1"/>
    <undo index="0" exp="area" dr="Y$136:Y$319" r="Y344" sId="1"/>
    <undo index="65535" exp="area" dr="$F$7:$F$319" r="X344" sId="1"/>
    <undo index="0" exp="area" dr="X$7:X$319" r="X344" sId="1"/>
    <undo index="65535" exp="area" dr="$F$7:$F$319" r="W344" sId="1"/>
    <undo index="0" exp="area" dr="W$7:W$319" r="W344" sId="1"/>
    <undo index="65535" exp="area" dr="$F$7:$F$319" r="V344" sId="1"/>
    <undo index="0" exp="area" dr="V$7:V$319" r="V344" sId="1"/>
    <undo index="65535" exp="area" dr="$F$7:$F$319" r="U344" sId="1"/>
    <undo index="0" exp="area" dr="U$7:U$319" r="U344" sId="1"/>
    <undo index="65535" exp="area" dr="$F$7:$F$319" r="T344" sId="1"/>
    <undo index="0" exp="area" dr="T$7:T$319" r="T344" sId="1"/>
    <undo index="65535" exp="area" dr="$F$7:$F$319" r="S344" sId="1"/>
    <undo index="0" exp="area" dr="S$7:S$319" r="S344" sId="1"/>
    <undo index="65535" exp="area" dr="$F$7:$F$319" r="AK342" sId="1"/>
    <undo index="0" exp="area" dr="AK$7:AK$319" r="AK342" sId="1"/>
    <undo index="65535" exp="area" dr="$F$7:$F$319" r="AJ342" sId="1"/>
    <undo index="0" exp="area" dr="AJ$7:AJ$319" r="AJ342" sId="1"/>
    <undo index="65535" exp="area" dr="$F$7:$F$319" r="AG342" sId="1"/>
    <undo index="0" exp="area" dr="AG$7:AG$319" r="AG342" sId="1"/>
    <undo index="65535" exp="area" dr="$F$7:$F$319" r="AF342" sId="1"/>
    <undo index="0" exp="area" dr="AF$7:AF$319" r="AF342" sId="1"/>
    <undo index="65535" exp="area" dr="$F$7:$F$319" r="AE342" sId="1"/>
    <undo index="0" exp="area" dr="AE$7:AE$319" r="AE342" sId="1"/>
    <undo index="65535" exp="area" dr="$F$7:$F$319" r="AD342" sId="1"/>
    <undo index="0" exp="area" dr="AD$7:AD$319" r="AD342" sId="1"/>
    <undo index="65535" exp="area" dr="$F$7:$F$319" r="AC342" sId="1"/>
    <undo index="0" exp="area" dr="AC$7:AC$319" r="AC342" sId="1"/>
    <undo index="65535" exp="area" dr="$F$7:$F$319" r="AB342" sId="1"/>
    <undo index="0" exp="area" dr="AB$7:AB$319" r="AB342" sId="1"/>
    <undo index="65535" exp="area" dr="$F$7:$F$319" r="AA342" sId="1"/>
    <undo index="0" exp="area" dr="AA$7:AA$319" r="AA342" sId="1"/>
    <undo index="65535" exp="area" dr="$F$7:$F$319" r="Z342" sId="1"/>
    <undo index="0" exp="area" dr="Z$7:Z$319" r="Z342" sId="1"/>
    <undo index="65535" exp="area" dr="$F$7:$F$319" r="Y342" sId="1"/>
    <undo index="0" exp="area" dr="Y$7:Y$319" r="Y342" sId="1"/>
    <undo index="65535" exp="area" dr="$F$7:$F$319" r="X342" sId="1"/>
    <undo index="0" exp="area" dr="X$7:X$319" r="X342" sId="1"/>
    <undo index="65535" exp="area" dr="$F$7:$F$319" r="W342" sId="1"/>
    <undo index="0" exp="area" dr="W$7:W$319" r="W342" sId="1"/>
    <undo index="65535" exp="area" dr="$F$7:$F$319" r="V342" sId="1"/>
    <undo index="0" exp="area" dr="V$7:V$319" r="V342" sId="1"/>
    <undo index="65535" exp="area" dr="$F$7:$F$319" r="U342" sId="1"/>
    <undo index="0" exp="area" dr="U$7:U$319" r="U342" sId="1"/>
    <undo index="65535" exp="area" dr="$F$7:$F$319" r="T342" sId="1"/>
    <undo index="0" exp="area" dr="T$7:T$319" r="T342" sId="1"/>
    <undo index="65535" exp="area" dr="$F$7:$F$319" r="S342" sId="1"/>
    <undo index="0" exp="area" dr="S$7:S$319" r="S342" sId="1"/>
    <undo index="0" exp="area" dr="F$7:F$319" r="D342" sId="1"/>
    <undo index="65535" exp="area" dr="$F$7:$F$319" r="AK341" sId="1"/>
    <undo index="0" exp="area" dr="AK$7:AK$319" r="AK341" sId="1"/>
    <undo index="65535" exp="area" dr="$F$7:$F$319" r="AJ341" sId="1"/>
    <undo index="0" exp="area" dr="AJ$7:AJ$319" r="AJ341" sId="1"/>
    <undo index="65535" exp="area" dr="$F$7:$F$319" r="AG341" sId="1"/>
    <undo index="0" exp="area" dr="AG$7:AG$319" r="AG341" sId="1"/>
    <undo index="65535" exp="area" dr="$F$7:$F$319" r="AF341" sId="1"/>
    <undo index="0" exp="area" dr="AF$7:AF$319" r="AF341" sId="1"/>
    <undo index="65535" exp="area" dr="$F$7:$F$319" r="AE341" sId="1"/>
    <undo index="0" exp="area" dr="AE$7:AE$319" r="AE341" sId="1"/>
    <undo index="65535" exp="area" dr="$F$7:$F$319" r="AD341" sId="1"/>
    <undo index="0" exp="area" dr="AD$7:AD$319" r="AD341" sId="1"/>
    <undo index="65535" exp="area" dr="$F$7:$F$319" r="AC341" sId="1"/>
    <undo index="0" exp="area" dr="AC$7:AC$319" r="AC341" sId="1"/>
    <undo index="65535" exp="area" dr="$F$7:$F$319" r="AB341" sId="1"/>
    <undo index="0" exp="area" dr="AB$7:AB$319" r="AB341" sId="1"/>
    <undo index="65535" exp="area" dr="$F$7:$F$319" r="AA341" sId="1"/>
    <undo index="0" exp="area" dr="AA$7:AA$319" r="AA341" sId="1"/>
    <undo index="65535" exp="area" dr="$F$7:$F$319" r="Z341" sId="1"/>
    <undo index="0" exp="area" dr="Z$7:Z$319" r="Z341" sId="1"/>
    <undo index="65535" exp="area" dr="$F$7:$F$319" r="Y341" sId="1"/>
    <undo index="0" exp="area" dr="Y$7:Y$319" r="Y341" sId="1"/>
    <undo index="65535" exp="area" dr="$F$7:$F$319" r="X341" sId="1"/>
    <undo index="0" exp="area" dr="X$7:X$319" r="X341" sId="1"/>
    <undo index="65535" exp="area" dr="$F$7:$F$319" r="W341" sId="1"/>
    <undo index="0" exp="area" dr="W$7:W$319" r="W341" sId="1"/>
    <undo index="65535" exp="area" dr="$F$7:$F$319" r="V341" sId="1"/>
    <undo index="0" exp="area" dr="V$7:V$319" r="V341" sId="1"/>
    <undo index="65535" exp="area" dr="$F$7:$F$319" r="U341" sId="1"/>
    <undo index="0" exp="area" dr="U$7:U$319" r="U341" sId="1"/>
    <undo index="65535" exp="area" dr="$F$7:$F$319" r="T341" sId="1"/>
    <undo index="0" exp="area" dr="T$7:T$319" r="T341" sId="1"/>
    <undo index="65535" exp="area" dr="$F$7:$F$319" r="S341" sId="1"/>
    <undo index="0" exp="area" dr="S$7:S$319" r="S341" sId="1"/>
    <undo index="0" exp="area" dr="F$7:F$319" r="D341" sId="1"/>
    <undo index="65535" exp="area" dr="$F$7:$F$319" r="AK340" sId="1"/>
    <undo index="0" exp="area" dr="AK$7:AK$319" r="AK340" sId="1"/>
    <undo index="65535" exp="area" dr="$F$7:$F$319" r="AJ340" sId="1"/>
    <undo index="0" exp="area" dr="AJ$7:AJ$319" r="AJ340" sId="1"/>
    <undo index="65535" exp="area" dr="$F$7:$F$319" r="AG340" sId="1"/>
    <undo index="0" exp="area" dr="AG$7:AG$319" r="AG340" sId="1"/>
    <undo index="65535" exp="area" dr="$F$7:$F$319" r="AF340" sId="1"/>
    <undo index="0" exp="area" dr="AF$7:AF$319" r="AF340" sId="1"/>
    <undo index="65535" exp="area" dr="$F$7:$F$319" r="AE340" sId="1"/>
    <undo index="0" exp="area" dr="AE$7:AE$319" r="AE340" sId="1"/>
    <undo index="65535" exp="area" dr="$F$7:$F$319" r="AD340" sId="1"/>
    <undo index="0" exp="area" dr="AD$7:AD$319" r="AD340" sId="1"/>
    <undo index="65535" exp="area" dr="$F$7:$F$319" r="AC340" sId="1"/>
    <undo index="0" exp="area" dr="AC$7:AC$319" r="AC340" sId="1"/>
    <undo index="65535" exp="area" dr="$F$7:$F$319" r="AB340" sId="1"/>
    <undo index="0" exp="area" dr="AB$7:AB$319" r="AB340" sId="1"/>
    <undo index="65535" exp="area" dr="$F$7:$F$319" r="AA340" sId="1"/>
    <undo index="0" exp="area" dr="AA$7:AA$319" r="AA340" sId="1"/>
    <undo index="65535" exp="area" dr="$F$7:$F$319" r="Z340" sId="1"/>
    <undo index="0" exp="area" dr="Z$7:Z$319" r="Z340" sId="1"/>
    <undo index="65535" exp="area" dr="$F$7:$F$319" r="Y340" sId="1"/>
    <undo index="0" exp="area" dr="Y$7:Y$319" r="Y340" sId="1"/>
    <undo index="65535" exp="area" dr="$F$7:$F$319" r="X340" sId="1"/>
    <undo index="0" exp="area" dr="X$7:X$319" r="X340" sId="1"/>
    <undo index="65535" exp="area" dr="$F$7:$F$319" r="W340" sId="1"/>
    <undo index="0" exp="area" dr="W$7:W$319" r="W340" sId="1"/>
    <undo index="65535" exp="area" dr="$F$7:$F$319" r="V340" sId="1"/>
    <undo index="0" exp="area" dr="V$7:V$319" r="V340" sId="1"/>
    <undo index="65535" exp="area" dr="$F$7:$F$319" r="U340" sId="1"/>
    <undo index="0" exp="area" dr="U$7:U$319" r="U340" sId="1"/>
    <undo index="65535" exp="area" dr="$F$7:$F$319" r="T340" sId="1"/>
    <undo index="0" exp="area" dr="T$7:T$319" r="T340" sId="1"/>
    <undo index="65535" exp="area" dr="$F$7:$F$319" r="S340" sId="1"/>
    <undo index="0" exp="area" dr="S$7:S$319" r="S340" sId="1"/>
    <undo index="0" exp="area" dr="F$7:F$319" r="D340" sId="1"/>
    <undo index="65535" exp="area" dr="$F$7:$F$319" r="AK339" sId="1"/>
    <undo index="0" exp="area" dr="AK$7:AK$319" r="AK339" sId="1"/>
    <undo index="65535" exp="area" dr="$F$7:$F$319" r="AJ339" sId="1"/>
    <undo index="0" exp="area" dr="AJ$7:AJ$319" r="AJ339" sId="1"/>
    <undo index="65535" exp="area" dr="$F$7:$F$319" r="AG339" sId="1"/>
    <undo index="0" exp="area" dr="AG$7:AG$319" r="AG339" sId="1"/>
    <undo index="65535" exp="area" dr="$F$7:$F$319" r="AF339" sId="1"/>
    <undo index="0" exp="area" dr="AF$7:AF$319" r="AF339" sId="1"/>
    <undo index="65535" exp="area" dr="$F$7:$F$319" r="AE339" sId="1"/>
    <undo index="0" exp="area" dr="AE$7:AE$319" r="AE339" sId="1"/>
    <undo index="65535" exp="area" dr="$F$7:$F$319" r="AD339" sId="1"/>
    <undo index="0" exp="area" dr="AD$7:AD$319" r="AD339" sId="1"/>
    <undo index="65535" exp="area" dr="$F$7:$F$319" r="AC339" sId="1"/>
    <undo index="0" exp="area" dr="AC$7:AC$319" r="AC339" sId="1"/>
    <undo index="65535" exp="area" dr="$F$7:$F$319" r="AB339" sId="1"/>
    <undo index="0" exp="area" dr="AB$7:AB$319" r="AB339" sId="1"/>
    <undo index="65535" exp="area" dr="$F$7:$F$319" r="AA339" sId="1"/>
    <undo index="0" exp="area" dr="AA$7:AA$319" r="AA339" sId="1"/>
    <undo index="65535" exp="area" dr="$F$7:$F$319" r="Z339" sId="1"/>
    <undo index="0" exp="area" dr="Z$7:Z$319" r="Z339" sId="1"/>
    <undo index="65535" exp="area" dr="$F$7:$F$319" r="Y339" sId="1"/>
    <undo index="0" exp="area" dr="Y$7:Y$319" r="Y339" sId="1"/>
    <undo index="65535" exp="area" dr="$F$7:$F$319" r="X339" sId="1"/>
    <undo index="0" exp="area" dr="X$7:X$319" r="X339" sId="1"/>
    <undo index="65535" exp="area" dr="$F$7:$F$319" r="W339" sId="1"/>
    <undo index="0" exp="area" dr="W$7:W$319" r="W339" sId="1"/>
    <undo index="65535" exp="area" dr="$F$7:$F$319" r="V339" sId="1"/>
    <undo index="0" exp="area" dr="V$7:V$319" r="V339" sId="1"/>
    <undo index="65535" exp="area" dr="$F$7:$F$319" r="U339" sId="1"/>
    <undo index="0" exp="area" dr="U$7:U$319" r="U339" sId="1"/>
    <undo index="65535" exp="area" dr="$F$7:$F$319" r="T339" sId="1"/>
    <undo index="0" exp="area" dr="T$7:T$319" r="T339" sId="1"/>
    <undo index="65535" exp="area" dr="$F$7:$F$319" r="S339" sId="1"/>
    <undo index="0" exp="area" dr="S$7:S$319" r="S339" sId="1"/>
    <undo index="0" exp="area" dr="F$7:F$319" r="D339" sId="1"/>
    <undo index="65535" exp="area" dr="$F$7:$F$319" r="AK338" sId="1"/>
    <undo index="0" exp="area" dr="AK$7:AK$319" r="AK338" sId="1"/>
    <undo index="65535" exp="area" dr="$F$7:$F$319" r="AJ338" sId="1"/>
    <undo index="0" exp="area" dr="AJ$7:AJ$319" r="AJ338" sId="1"/>
    <undo index="65535" exp="area" dr="$F$7:$F$319" r="AG338" sId="1"/>
    <undo index="0" exp="area" dr="AG$7:AG$319" r="AG338" sId="1"/>
    <undo index="65535" exp="area" dr="$F$7:$F$319" r="AF338" sId="1"/>
    <undo index="0" exp="area" dr="AF$7:AF$319" r="AF338" sId="1"/>
    <undo index="65535" exp="area" dr="$F$7:$F$319" r="AE338" sId="1"/>
    <undo index="0" exp="area" dr="AE$7:AE$319" r="AE338" sId="1"/>
    <undo index="65535" exp="area" dr="$F$7:$F$319" r="AD338" sId="1"/>
    <undo index="0" exp="area" dr="AD$7:AD$319" r="AD338" sId="1"/>
    <undo index="65535" exp="area" dr="$F$7:$F$319" r="AC338" sId="1"/>
    <undo index="0" exp="area" dr="AC$7:AC$319" r="AC338" sId="1"/>
    <undo index="65535" exp="area" dr="$F$7:$F$319" r="AB338" sId="1"/>
    <undo index="0" exp="area" dr="AB$7:AB$319" r="AB338" sId="1"/>
    <undo index="65535" exp="area" dr="$F$7:$F$319" r="AA338" sId="1"/>
    <undo index="0" exp="area" dr="AA$7:AA$319" r="AA338" sId="1"/>
    <undo index="65535" exp="area" dr="$F$7:$F$319" r="Z338" sId="1"/>
    <undo index="0" exp="area" dr="Z$7:Z$319" r="Z338" sId="1"/>
    <undo index="65535" exp="area" dr="$F$7:$F$319" r="Y338" sId="1"/>
    <undo index="0" exp="area" dr="Y$7:Y$319" r="Y338" sId="1"/>
    <undo index="65535" exp="area" dr="$F$7:$F$319" r="X338" sId="1"/>
    <undo index="0" exp="area" dr="X$7:X$319" r="X338" sId="1"/>
    <undo index="65535" exp="area" dr="$F$7:$F$319" r="W338" sId="1"/>
    <undo index="0" exp="area" dr="W$7:W$319" r="W338" sId="1"/>
    <undo index="65535" exp="area" dr="$F$7:$F$319" r="V338" sId="1"/>
    <undo index="0" exp="area" dr="V$7:V$319" r="V338" sId="1"/>
    <undo index="65535" exp="area" dr="$F$7:$F$319" r="U338" sId="1"/>
    <undo index="0" exp="area" dr="U$7:U$319" r="U338" sId="1"/>
    <undo index="65535" exp="area" dr="$F$7:$F$319" r="T338" sId="1"/>
    <undo index="0" exp="area" dr="T$7:T$319" r="T338" sId="1"/>
    <undo index="65535" exp="area" dr="$F$7:$F$319" r="S338" sId="1"/>
    <undo index="0" exp="area" dr="S$7:S$319" r="S338" sId="1"/>
    <undo index="0" exp="area" dr="F$7:F$319" r="D338" sId="1"/>
    <undo index="65535" exp="area" dr="$F$7:$F$319" r="AK336" sId="1"/>
    <undo index="0" exp="area" dr="AK$7:AK$319" r="AK336" sId="1"/>
    <undo index="65535" exp="area" dr="$F$7:$F$319" r="AJ336" sId="1"/>
    <undo index="0" exp="area" dr="AJ$7:AJ$319" r="AJ336" sId="1"/>
    <undo index="65535" exp="area" dr="$F$7:$F$319" r="AG336" sId="1"/>
    <undo index="0" exp="area" dr="AG$7:AG$319" r="AG336" sId="1"/>
    <undo index="65535" exp="area" dr="$F$7:$F$319" r="AF336" sId="1"/>
    <undo index="0" exp="area" dr="AF$7:AF$319" r="AF336" sId="1"/>
    <undo index="65535" exp="area" dr="$F$7:$F$319" r="AE336" sId="1"/>
    <undo index="0" exp="area" dr="AE$7:AE$319" r="AE336" sId="1"/>
    <undo index="65535" exp="area" dr="$F$7:$F$319" r="AD336" sId="1"/>
    <undo index="0" exp="area" dr="AD$7:AD$319" r="AD336" sId="1"/>
    <undo index="65535" exp="area" dr="$F$7:$F$319" r="AC336" sId="1"/>
    <undo index="0" exp="area" dr="AC$7:AC$319" r="AC336" sId="1"/>
    <undo index="65535" exp="area" dr="$F$7:$F$319" r="AB336" sId="1"/>
    <undo index="0" exp="area" dr="AB$7:AB$319" r="AB336" sId="1"/>
    <undo index="65535" exp="area" dr="$F$7:$F$319" r="AA336" sId="1"/>
    <undo index="0" exp="area" dr="AA$7:AA$319" r="AA336" sId="1"/>
    <undo index="65535" exp="area" dr="$F$7:$F$319" r="Z336" sId="1"/>
    <undo index="0" exp="area" dr="Z$7:Z$319" r="Z336" sId="1"/>
    <undo index="65535" exp="area" dr="$F$7:$F$319" r="Y336" sId="1"/>
    <undo index="0" exp="area" dr="Y$7:Y$319" r="Y336" sId="1"/>
    <undo index="65535" exp="area" dr="$F$7:$F$319" r="X336" sId="1"/>
    <undo index="0" exp="area" dr="X$7:X$319" r="X336" sId="1"/>
    <undo index="65535" exp="area" dr="$F$7:$F$319" r="W336" sId="1"/>
    <undo index="0" exp="area" dr="W$7:W$319" r="W336" sId="1"/>
    <undo index="65535" exp="area" dr="$F$7:$F$319" r="V336" sId="1"/>
    <undo index="0" exp="area" dr="V$7:V$319" r="V336" sId="1"/>
    <undo index="65535" exp="area" dr="$F$7:$F$319" r="U336" sId="1"/>
    <undo index="0" exp="area" dr="U$7:U$319" r="U336" sId="1"/>
    <undo index="65535" exp="area" dr="$F$7:$F$319" r="T336" sId="1"/>
    <undo index="0" exp="area" dr="T$7:T$319" r="T336" sId="1"/>
    <undo index="65535" exp="area" dr="$F$7:$F$319" r="S336" sId="1"/>
    <undo index="0" exp="area" dr="S$7:S$319" r="S336" sId="1"/>
    <undo index="0" exp="area" dr="F$7:F$319" r="D336" sId="1"/>
    <undo index="65535" exp="area" dr="$F$7:$F$319" r="AK335" sId="1"/>
    <undo index="0" exp="area" dr="AK$7:AK$319" r="AK335" sId="1"/>
    <undo index="65535" exp="area" dr="$F$7:$F$319" r="AJ335" sId="1"/>
    <undo index="0" exp="area" dr="AJ$7:AJ$319" r="AJ335" sId="1"/>
    <undo index="65535" exp="area" dr="$F$7:$F$319" r="AG335" sId="1"/>
    <undo index="0" exp="area" dr="AG$7:AG$319" r="AG335" sId="1"/>
    <undo index="65535" exp="area" dr="$F$7:$F$319" r="AF335" sId="1"/>
    <undo index="0" exp="area" dr="AF$7:AF$319" r="AF335" sId="1"/>
    <undo index="65535" exp="area" dr="$F$7:$F$319" r="AE335" sId="1"/>
    <undo index="0" exp="area" dr="AE$7:AE$319" r="AE335" sId="1"/>
    <undo index="65535" exp="area" dr="$F$7:$F$319" r="AD335" sId="1"/>
    <undo index="0" exp="area" dr="AD$7:AD$319" r="AD335" sId="1"/>
    <undo index="65535" exp="area" dr="$F$7:$F$319" r="AC335" sId="1"/>
    <undo index="0" exp="area" dr="AC$7:AC$319" r="AC335" sId="1"/>
    <undo index="65535" exp="area" dr="$F$7:$F$319" r="AB335" sId="1"/>
    <undo index="0" exp="area" dr="AB$7:AB$319" r="AB335" sId="1"/>
    <undo index="65535" exp="area" dr="$F$7:$F$319" r="AA335" sId="1"/>
    <undo index="0" exp="area" dr="AA$7:AA$319" r="AA335" sId="1"/>
    <undo index="65535" exp="area" dr="$F$7:$F$319" r="Z335" sId="1"/>
    <undo index="0" exp="area" dr="Z$7:Z$319" r="Z335" sId="1"/>
    <undo index="65535" exp="area" dr="$F$7:$F$319" r="Y335" sId="1"/>
    <undo index="0" exp="area" dr="Y$7:Y$319" r="Y335" sId="1"/>
    <undo index="65535" exp="area" dr="$F$7:$F$319" r="X335" sId="1"/>
    <undo index="0" exp="area" dr="X$7:X$319" r="X335" sId="1"/>
    <undo index="65535" exp="area" dr="$F$7:$F$319" r="W335" sId="1"/>
    <undo index="0" exp="area" dr="W$7:W$319" r="W335" sId="1"/>
    <undo index="65535" exp="area" dr="$F$7:$F$319" r="V335" sId="1"/>
    <undo index="0" exp="area" dr="V$7:V$319" r="V335" sId="1"/>
    <undo index="65535" exp="area" dr="$F$7:$F$319" r="U335" sId="1"/>
    <undo index="0" exp="area" dr="U$7:U$319" r="U335" sId="1"/>
    <undo index="65535" exp="area" dr="$F$7:$F$319" r="T335" sId="1"/>
    <undo index="0" exp="area" dr="T$7:T$319" r="T335" sId="1"/>
    <undo index="65535" exp="area" dr="$F$7:$F$319" r="S335" sId="1"/>
    <undo index="0" exp="area" dr="S$7:S$319" r="S335" sId="1"/>
    <undo index="0" exp="area" dr="F$7:F$319" r="D335" sId="1"/>
    <undo index="65535" exp="area" dr="$F$7:$F$319" r="AK334" sId="1"/>
    <undo index="0" exp="area" dr="AK$7:AK$319" r="AK334" sId="1"/>
    <undo index="65535" exp="area" dr="$F$7:$F$319" r="AJ334" sId="1"/>
    <undo index="0" exp="area" dr="AJ$7:AJ$319" r="AJ334" sId="1"/>
    <undo index="65535" exp="area" dr="$F$7:$F$319" r="AG334" sId="1"/>
    <undo index="0" exp="area" dr="AG$7:AG$319" r="AG334" sId="1"/>
    <undo index="65535" exp="area" dr="$F$7:$F$319" r="AF334" sId="1"/>
    <undo index="0" exp="area" dr="AF$7:AF$319" r="AF334" sId="1"/>
    <undo index="65535" exp="area" dr="$F$7:$F$319" r="AE334" sId="1"/>
    <undo index="0" exp="area" dr="AE$7:AE$319" r="AE334" sId="1"/>
    <undo index="65535" exp="area" dr="$F$7:$F$319" r="AD334" sId="1"/>
    <undo index="0" exp="area" dr="AD$7:AD$319" r="AD334" sId="1"/>
    <undo index="65535" exp="area" dr="$F$7:$F$319" r="AC334" sId="1"/>
    <undo index="0" exp="area" dr="AC$7:AC$319" r="AC334" sId="1"/>
    <undo index="65535" exp="area" dr="$F$7:$F$319" r="AB334" sId="1"/>
    <undo index="0" exp="area" dr="AB$7:AB$319" r="AB334" sId="1"/>
    <undo index="65535" exp="area" dr="$F$7:$F$319" r="AA334" sId="1"/>
    <undo index="0" exp="area" dr="AA$7:AA$319" r="AA334" sId="1"/>
    <undo index="65535" exp="area" dr="$F$7:$F$319" r="Z334" sId="1"/>
    <undo index="0" exp="area" dr="Z$7:Z$319" r="Z334" sId="1"/>
    <undo index="65535" exp="area" dr="$F$7:$F$319" r="Y334" sId="1"/>
    <undo index="0" exp="area" dr="Y$7:Y$319" r="Y334" sId="1"/>
    <undo index="65535" exp="area" dr="$F$7:$F$319" r="X334" sId="1"/>
    <undo index="0" exp="area" dr="X$7:X$319" r="X334" sId="1"/>
    <undo index="65535" exp="area" dr="$F$7:$F$319" r="W334" sId="1"/>
    <undo index="0" exp="area" dr="W$7:W$319" r="W334" sId="1"/>
    <undo index="65535" exp="area" dr="$F$7:$F$319" r="V334" sId="1"/>
    <undo index="0" exp="area" dr="V$7:V$319" r="V334" sId="1"/>
    <undo index="65535" exp="area" dr="$F$7:$F$319" r="U334" sId="1"/>
    <undo index="0" exp="area" dr="U$7:U$319" r="U334" sId="1"/>
    <undo index="65535" exp="area" dr="$F$7:$F$319" r="T334" sId="1"/>
    <undo index="0" exp="area" dr="T$7:T$319" r="T334" sId="1"/>
    <undo index="65535" exp="area" dr="$F$7:$F$319" r="S334" sId="1"/>
    <undo index="0" exp="area" dr="S$7:S$319" r="S334" sId="1"/>
    <undo index="0" exp="area" dr="F$7:F$319" r="D334" sId="1"/>
    <undo index="65535" exp="area" dr="$F$7:$F$319" r="AK333" sId="1"/>
    <undo index="0" exp="area" dr="AK$7:AK$319" r="AK333" sId="1"/>
    <undo index="65535" exp="area" dr="$F$7:$F$319" r="AJ333" sId="1"/>
    <undo index="0" exp="area" dr="AJ$7:AJ$319" r="AJ333" sId="1"/>
    <undo index="65535" exp="area" dr="$F$7:$F$319" r="AG333" sId="1"/>
    <undo index="0" exp="area" dr="AG$7:AG$319" r="AG333" sId="1"/>
    <undo index="65535" exp="area" dr="$F$7:$F$319" r="AF333" sId="1"/>
    <undo index="0" exp="area" dr="AF$7:AF$319" r="AF333" sId="1"/>
    <undo index="65535" exp="area" dr="$F$7:$F$319" r="AE333" sId="1"/>
    <undo index="0" exp="area" dr="AE$7:AE$319" r="AE333" sId="1"/>
    <undo index="65535" exp="area" dr="$F$7:$F$319" r="AD333" sId="1"/>
    <undo index="0" exp="area" dr="AD$7:AD$319" r="AD333" sId="1"/>
    <undo index="65535" exp="area" dr="$F$7:$F$319" r="AC333" sId="1"/>
    <undo index="0" exp="area" dr="AC$7:AC$319" r="AC333" sId="1"/>
    <undo index="65535" exp="area" dr="$F$7:$F$319" r="AB333" sId="1"/>
    <undo index="0" exp="area" dr="AB$7:AB$319" r="AB333" sId="1"/>
    <undo index="65535" exp="area" dr="$F$7:$F$319" r="AA333" sId="1"/>
    <undo index="0" exp="area" dr="AA$7:AA$319" r="AA333" sId="1"/>
    <undo index="65535" exp="area" dr="$F$7:$F$319" r="Z333" sId="1"/>
    <undo index="0" exp="area" dr="Z$7:Z$319" r="Z333" sId="1"/>
    <undo index="65535" exp="area" dr="$F$7:$F$319" r="Y333" sId="1"/>
    <undo index="0" exp="area" dr="Y$7:Y$319" r="Y333" sId="1"/>
    <undo index="65535" exp="area" dr="$F$7:$F$319" r="X333" sId="1"/>
    <undo index="0" exp="area" dr="X$7:X$319" r="X333" sId="1"/>
    <undo index="65535" exp="area" dr="$F$7:$F$319" r="W333" sId="1"/>
    <undo index="0" exp="area" dr="W$7:W$319" r="W333" sId="1"/>
    <undo index="65535" exp="area" dr="$F$7:$F$319" r="V333" sId="1"/>
    <undo index="0" exp="area" dr="V$7:V$319" r="V333" sId="1"/>
    <undo index="65535" exp="area" dr="$F$7:$F$319" r="U333" sId="1"/>
    <undo index="0" exp="area" dr="U$7:U$319" r="U333" sId="1"/>
    <undo index="65535" exp="area" dr="$F$7:$F$319" r="T333" sId="1"/>
    <undo index="0" exp="area" dr="T$7:T$319" r="T333" sId="1"/>
    <undo index="65535" exp="area" dr="$F$7:$F$319" r="S333" sId="1"/>
    <undo index="0" exp="area" dr="S$7:S$319" r="S333" sId="1"/>
    <undo index="0" exp="area" dr="F$7:F$319" r="D333" sId="1"/>
    <undo index="65535" exp="area" dr="$F$7:$F$319" r="AK332" sId="1"/>
    <undo index="0" exp="area" dr="AK$7:AK$319" r="AK332" sId="1"/>
    <undo index="65535" exp="area" dr="$F$7:$F$319" r="AJ332" sId="1"/>
    <undo index="0" exp="area" dr="AJ$7:AJ$319" r="AJ332" sId="1"/>
    <undo index="65535" exp="area" dr="$F$7:$F$319" r="AG332" sId="1"/>
    <undo index="0" exp="area" dr="AG$7:AG$319" r="AG332" sId="1"/>
    <undo index="65535" exp="area" dr="$F$7:$F$319" r="AF332" sId="1"/>
    <undo index="0" exp="area" dr="AF$7:AF$319" r="AF332" sId="1"/>
    <undo index="65535" exp="area" dr="$F$7:$F$319" r="AE332" sId="1"/>
    <undo index="0" exp="area" dr="AE$7:AE$319" r="AE332" sId="1"/>
    <undo index="65535" exp="area" dr="$F$7:$F$319" r="AD332" sId="1"/>
    <undo index="0" exp="area" dr="AD$7:AD$319" r="AD332" sId="1"/>
    <undo index="65535" exp="area" dr="$F$7:$F$319" r="AC332" sId="1"/>
    <undo index="0" exp="area" dr="AC$7:AC$319" r="AC332" sId="1"/>
    <undo index="65535" exp="area" dr="$F$7:$F$319" r="AB332" sId="1"/>
    <undo index="0" exp="area" dr="AB$7:AB$319" r="AB332" sId="1"/>
    <undo index="65535" exp="area" dr="$F$7:$F$319" r="AA332" sId="1"/>
    <undo index="0" exp="area" dr="AA$7:AA$319" r="AA332" sId="1"/>
    <undo index="65535" exp="area" dr="$F$7:$F$319" r="Z332" sId="1"/>
    <undo index="0" exp="area" dr="Z$7:Z$319" r="Z332" sId="1"/>
    <undo index="65535" exp="area" dr="$F$7:$F$319" r="Y332" sId="1"/>
    <undo index="0" exp="area" dr="Y$7:Y$319" r="Y332" sId="1"/>
    <undo index="65535" exp="area" dr="$F$7:$F$319" r="X332" sId="1"/>
    <undo index="0" exp="area" dr="X$7:X$319" r="X332" sId="1"/>
    <undo index="65535" exp="area" dr="$F$7:$F$319" r="W332" sId="1"/>
    <undo index="0" exp="area" dr="W$7:W$319" r="W332" sId="1"/>
    <undo index="65535" exp="area" dr="$F$7:$F$319" r="V332" sId="1"/>
    <undo index="0" exp="area" dr="V$7:V$319" r="V332" sId="1"/>
    <undo index="65535" exp="area" dr="$F$7:$F$319" r="U332" sId="1"/>
    <undo index="0" exp="area" dr="U$7:U$319" r="U332" sId="1"/>
    <undo index="65535" exp="area" dr="$F$7:$F$319" r="T332" sId="1"/>
    <undo index="0" exp="area" dr="T$7:T$319" r="T332" sId="1"/>
    <undo index="65535" exp="area" dr="$F$7:$F$319" r="S332" sId="1"/>
    <undo index="0" exp="area" dr="S$7:S$319" r="S332" sId="1"/>
    <undo index="0" exp="area" dr="F$7:F$319" r="D332" sId="1"/>
    <undo index="65535" exp="area" dr="$F$7:$F$319" r="AK331" sId="1"/>
    <undo index="0" exp="area" dr="AK$7:AK$319" r="AK331" sId="1"/>
    <undo index="65535" exp="area" dr="$F$7:$F$319" r="AJ331" sId="1"/>
    <undo index="0" exp="area" dr="AJ$7:AJ$319" r="AJ331" sId="1"/>
    <undo index="65535" exp="area" dr="$F$7:$F$319" r="AG331" sId="1"/>
    <undo index="0" exp="area" dr="AG$7:AG$319" r="AG331" sId="1"/>
    <undo index="65535" exp="area" dr="$F$7:$F$319" r="AF331" sId="1"/>
    <undo index="0" exp="area" dr="AF$7:AF$319" r="AF331" sId="1"/>
    <undo index="65535" exp="area" dr="$F$7:$F$319" r="AE331" sId="1"/>
    <undo index="0" exp="area" dr="AE$7:AE$319" r="AE331" sId="1"/>
    <undo index="65535" exp="area" dr="$F$7:$F$319" r="AD331" sId="1"/>
    <undo index="0" exp="area" dr="AD$7:AD$319" r="AD331" sId="1"/>
    <undo index="65535" exp="area" dr="$F$7:$F$319" r="AC331" sId="1"/>
    <undo index="0" exp="area" dr="AC$7:AC$319" r="AC331" sId="1"/>
    <undo index="65535" exp="area" dr="$F$7:$F$319" r="AB331" sId="1"/>
    <undo index="0" exp="area" dr="AB$7:AB$319" r="AB331" sId="1"/>
    <undo index="65535" exp="area" dr="$F$7:$F$319" r="AA331" sId="1"/>
    <undo index="0" exp="area" dr="AA$7:AA$319" r="AA331" sId="1"/>
    <undo index="65535" exp="area" dr="$F$7:$F$319" r="Z331" sId="1"/>
    <undo index="0" exp="area" dr="Z$7:Z$319" r="Z331" sId="1"/>
    <undo index="65535" exp="area" dr="$F$7:$F$319" r="Y331" sId="1"/>
    <undo index="0" exp="area" dr="Y$7:Y$319" r="Y331" sId="1"/>
    <undo index="65535" exp="area" dr="$F$7:$F$319" r="X331" sId="1"/>
    <undo index="0" exp="area" dr="X$7:X$319" r="X331" sId="1"/>
    <undo index="65535" exp="area" dr="$F$7:$F$319" r="W331" sId="1"/>
    <undo index="0" exp="area" dr="W$7:W$319" r="W331" sId="1"/>
    <undo index="65535" exp="area" dr="$F$7:$F$319" r="V331" sId="1"/>
    <undo index="0" exp="area" dr="V$7:V$319" r="V331" sId="1"/>
    <undo index="65535" exp="area" dr="$F$7:$F$319" r="U331" sId="1"/>
    <undo index="0" exp="area" dr="U$7:U$319" r="U331" sId="1"/>
    <undo index="65535" exp="area" dr="$F$7:$F$319" r="T331" sId="1"/>
    <undo index="0" exp="area" dr="T$7:T$319" r="T331" sId="1"/>
    <undo index="65535" exp="area" dr="$F$7:$F$319" r="S331" sId="1"/>
    <undo index="0" exp="area" dr="S$7:S$319" r="S331" sId="1"/>
    <undo index="0" exp="area" dr="F$7:F$319" r="D331" sId="1"/>
    <undo index="65535" exp="area" dr="$F$7:$F$319" r="AK330" sId="1"/>
    <undo index="0" exp="area" dr="AK$7:AK$319" r="AK330" sId="1"/>
    <undo index="65535" exp="area" dr="$F$7:$F$319" r="AJ330" sId="1"/>
    <undo index="0" exp="area" dr="AJ$7:AJ$319" r="AJ330" sId="1"/>
    <undo index="65535" exp="area" dr="$F$7:$F$319" r="AG330" sId="1"/>
    <undo index="0" exp="area" dr="AG$7:AG$319" r="AG330" sId="1"/>
    <undo index="65535" exp="area" dr="$F$7:$F$319" r="AF330" sId="1"/>
    <undo index="0" exp="area" dr="AF$7:AF$319" r="AF330" sId="1"/>
    <undo index="65535" exp="area" dr="$F$7:$F$319" r="AE330" sId="1"/>
    <undo index="0" exp="area" dr="AE$7:AE$319" r="AE330" sId="1"/>
    <undo index="65535" exp="area" dr="$F$7:$F$319" r="AD330" sId="1"/>
    <undo index="0" exp="area" dr="AD$7:AD$319" r="AD330" sId="1"/>
    <undo index="65535" exp="area" dr="$F$7:$F$319" r="AC330" sId="1"/>
    <undo index="0" exp="area" dr="AC$7:AC$319" r="AC330" sId="1"/>
    <undo index="65535" exp="area" dr="$F$7:$F$319" r="AB330" sId="1"/>
    <undo index="0" exp="area" dr="AB$7:AB$319" r="AB330" sId="1"/>
    <undo index="65535" exp="area" dr="$F$7:$F$319" r="AA330" sId="1"/>
    <undo index="0" exp="area" dr="AA$7:AA$319" r="AA330" sId="1"/>
    <undo index="65535" exp="area" dr="$F$7:$F$319" r="Z330" sId="1"/>
    <undo index="0" exp="area" dr="Z$7:Z$319" r="Z330" sId="1"/>
    <undo index="65535" exp="area" dr="$F$7:$F$319" r="Y330" sId="1"/>
    <undo index="0" exp="area" dr="Y$7:Y$319" r="Y330" sId="1"/>
    <undo index="65535" exp="area" dr="$F$7:$F$319" r="X330" sId="1"/>
    <undo index="0" exp="area" dr="X$7:X$319" r="X330" sId="1"/>
    <undo index="65535" exp="area" dr="$F$7:$F$319" r="W330" sId="1"/>
    <undo index="0" exp="area" dr="W$7:W$319" r="W330" sId="1"/>
    <undo index="65535" exp="area" dr="$F$7:$F$319" r="V330" sId="1"/>
    <undo index="0" exp="area" dr="V$7:V$319" r="V330" sId="1"/>
    <undo index="65535" exp="area" dr="$F$7:$F$319" r="U330" sId="1"/>
    <undo index="0" exp="area" dr="U$7:U$319" r="U330" sId="1"/>
    <undo index="65535" exp="area" dr="$F$7:$F$319" r="T330" sId="1"/>
    <undo index="0" exp="area" dr="T$7:T$319" r="T330" sId="1"/>
    <undo index="65535" exp="area" dr="$F$7:$F$319" r="S330" sId="1"/>
    <undo index="0" exp="area" dr="S$7:S$319" r="S330" sId="1"/>
    <undo index="0" exp="area" dr="F$7:F$319" r="D330" sId="1"/>
    <undo index="65535" exp="area" dr="$F$7:$F$319" r="AK329" sId="1"/>
    <undo index="0" exp="area" dr="AK$7:AK$319" r="AK329" sId="1"/>
    <undo index="65535" exp="area" dr="$F$7:$F$319" r="AJ329" sId="1"/>
    <undo index="0" exp="area" dr="AJ$7:AJ$319" r="AJ329" sId="1"/>
    <undo index="65535" exp="area" dr="$F$7:$F$319" r="AG329" sId="1"/>
    <undo index="0" exp="area" dr="AG$7:AG$319" r="AG329" sId="1"/>
    <undo index="65535" exp="area" dr="$F$7:$F$319" r="AF329" sId="1"/>
    <undo index="0" exp="area" dr="AF$7:AF$319" r="AF329" sId="1"/>
    <undo index="65535" exp="area" dr="$F$7:$F$319" r="AE329" sId="1"/>
    <undo index="0" exp="area" dr="AE$7:AE$319" r="AE329" sId="1"/>
    <undo index="65535" exp="area" dr="$F$7:$F$319" r="AD329" sId="1"/>
    <undo index="0" exp="area" dr="AD$7:AD$319" r="AD329" sId="1"/>
    <undo index="65535" exp="area" dr="$F$7:$F$319" r="AC329" sId="1"/>
    <undo index="0" exp="area" dr="AC$7:AC$319" r="AC329" sId="1"/>
    <undo index="65535" exp="area" dr="$F$7:$F$319" r="AB329" sId="1"/>
    <undo index="0" exp="area" dr="AB$7:AB$319" r="AB329" sId="1"/>
    <undo index="65535" exp="area" dr="$F$7:$F$319" r="AA329" sId="1"/>
    <undo index="0" exp="area" dr="AA$7:AA$319" r="AA329" sId="1"/>
    <undo index="65535" exp="area" dr="$F$7:$F$319" r="Z329" sId="1"/>
    <undo index="0" exp="area" dr="Z$7:Z$319" r="Z329" sId="1"/>
    <undo index="65535" exp="area" dr="$F$7:$F$319" r="Y329" sId="1"/>
    <undo index="0" exp="area" dr="Y$7:Y$319" r="Y329" sId="1"/>
    <undo index="65535" exp="area" dr="$F$7:$F$319" r="X329" sId="1"/>
    <undo index="0" exp="area" dr="X$7:X$319" r="X329" sId="1"/>
    <undo index="65535" exp="area" dr="$F$7:$F$319" r="W329" sId="1"/>
    <undo index="0" exp="area" dr="W$7:W$319" r="W329" sId="1"/>
    <undo index="65535" exp="area" dr="$F$7:$F$319" r="V329" sId="1"/>
    <undo index="0" exp="area" dr="V$7:V$319" r="V329" sId="1"/>
    <undo index="65535" exp="area" dr="$F$7:$F$319" r="U329" sId="1"/>
    <undo index="0" exp="area" dr="U$7:U$319" r="U329" sId="1"/>
    <undo index="65535" exp="area" dr="$F$7:$F$319" r="T329" sId="1"/>
    <undo index="0" exp="area" dr="T$7:T$319" r="T329" sId="1"/>
    <undo index="65535" exp="area" dr="$F$7:$F$319" r="S329" sId="1"/>
    <undo index="0" exp="area" dr="S$7:S$319" r="S329" sId="1"/>
    <undo index="0" exp="area" dr="F$7:F$319" r="D329" sId="1"/>
    <undo index="65535" exp="area" dr="$F$7:$F$319" r="AK327" sId="1"/>
    <undo index="0" exp="area" dr="AK$7:AK$319" r="AK327" sId="1"/>
    <undo index="65535" exp="area" dr="$F$7:$F$319" r="AJ327" sId="1"/>
    <undo index="0" exp="area" dr="AJ$7:AJ$319" r="AJ327" sId="1"/>
    <undo index="65535" exp="area" dr="$F$7:$F$319" r="AG327" sId="1"/>
    <undo index="0" exp="area" dr="AG$7:AG$319" r="AG327" sId="1"/>
    <undo index="65535" exp="area" dr="$F$7:$F$319" r="AF327" sId="1"/>
    <undo index="0" exp="area" dr="AF$7:AF$319" r="AF327" sId="1"/>
    <undo index="65535" exp="area" dr="$F$7:$F$319" r="AE327" sId="1"/>
    <undo index="0" exp="area" dr="AE$7:AE$319" r="AE327" sId="1"/>
    <undo index="65535" exp="area" dr="$F$7:$F$319" r="AD327" sId="1"/>
    <undo index="0" exp="area" dr="AD$7:AD$319" r="AD327" sId="1"/>
    <undo index="65535" exp="area" dr="$F$7:$F$319" r="AC327" sId="1"/>
    <undo index="0" exp="area" dr="AC$7:AC$319" r="AC327" sId="1"/>
    <undo index="65535" exp="area" dr="$F$7:$F$319" r="AB327" sId="1"/>
    <undo index="0" exp="area" dr="AB$7:AB$319" r="AB327" sId="1"/>
    <undo index="65535" exp="area" dr="$F$7:$F$319" r="AA327" sId="1"/>
    <undo index="0" exp="area" dr="AA$7:AA$319" r="AA327" sId="1"/>
    <undo index="65535" exp="area" dr="$F$7:$F$319" r="Z327" sId="1"/>
    <undo index="0" exp="area" dr="Z$7:Z$319" r="Z327" sId="1"/>
    <undo index="65535" exp="area" dr="$F$7:$F$319" r="Y327" sId="1"/>
    <undo index="0" exp="area" dr="Y$7:Y$319" r="Y327" sId="1"/>
    <undo index="65535" exp="area" dr="$F$7:$F$319" r="X327" sId="1"/>
    <undo index="0" exp="area" dr="X$7:X$319" r="X327" sId="1"/>
    <undo index="65535" exp="area" dr="$F$7:$F$319" r="W327" sId="1"/>
    <undo index="0" exp="area" dr="W$7:W$319" r="W327" sId="1"/>
    <undo index="65535" exp="area" dr="$F$7:$F$319" r="V327" sId="1"/>
    <undo index="0" exp="area" dr="V$7:V$319" r="V327" sId="1"/>
    <undo index="65535" exp="area" dr="$F$7:$F$319" r="U327" sId="1"/>
    <undo index="0" exp="area" dr="U$7:U$319" r="U327" sId="1"/>
    <undo index="65535" exp="area" dr="$F$7:$F$319" r="T327" sId="1"/>
    <undo index="0" exp="area" dr="T$7:T$319" r="T327" sId="1"/>
    <undo index="65535" exp="area" dr="$F$7:$F$319" r="S327" sId="1"/>
    <undo index="0" exp="area" dr="S$7:S$319" r="S327" sId="1"/>
    <undo index="0" exp="area" dr="F$7:F$319" r="D327" sId="1"/>
    <undo index="65535" exp="area" dr="$F$7:$F$319" r="AK326" sId="1"/>
    <undo index="0" exp="area" dr="AK$7:AK$319" r="AK326" sId="1"/>
    <undo index="65535" exp="area" dr="$F$7:$F$319" r="AJ326" sId="1"/>
    <undo index="0" exp="area" dr="AJ$7:AJ$319" r="AJ326" sId="1"/>
    <undo index="65535" exp="area" dr="$F$7:$F$319" r="AG326" sId="1"/>
    <undo index="0" exp="area" dr="AG$7:AG$319" r="AG326" sId="1"/>
    <undo index="65535" exp="area" dr="$F$7:$F$319" r="AF326" sId="1"/>
    <undo index="0" exp="area" dr="AF$7:AF$319" r="AF326" sId="1"/>
    <undo index="65535" exp="area" dr="$F$7:$F$319" r="AE326" sId="1"/>
    <undo index="0" exp="area" dr="AE$7:AE$319" r="AE326" sId="1"/>
    <undo index="65535" exp="area" dr="$F$7:$F$319" r="AD326" sId="1"/>
    <undo index="0" exp="area" dr="AD$7:AD$319" r="AD326" sId="1"/>
    <undo index="65535" exp="area" dr="$F$7:$F$319" r="AC326" sId="1"/>
    <undo index="0" exp="area" dr="AC$7:AC$319" r="AC326" sId="1"/>
    <undo index="65535" exp="area" dr="$F$7:$F$319" r="AB326" sId="1"/>
    <undo index="0" exp="area" dr="AB$7:AB$319" r="AB326" sId="1"/>
    <undo index="65535" exp="area" dr="$F$7:$F$319" r="AA326" sId="1"/>
    <undo index="0" exp="area" dr="AA$7:AA$319" r="AA326" sId="1"/>
    <undo index="65535" exp="area" dr="$F$7:$F$319" r="Z326" sId="1"/>
    <undo index="0" exp="area" dr="Z$7:Z$319" r="Z326" sId="1"/>
    <undo index="65535" exp="area" dr="$F$7:$F$319" r="Y326" sId="1"/>
    <undo index="0" exp="area" dr="Y$7:Y$319" r="Y326" sId="1"/>
    <undo index="65535" exp="area" dr="$F$7:$F$319" r="X326" sId="1"/>
    <undo index="0" exp="area" dr="X$7:X$319" r="X326" sId="1"/>
    <undo index="65535" exp="area" dr="$F$7:$F$319" r="W326" sId="1"/>
    <undo index="0" exp="area" dr="W$7:W$319" r="W326" sId="1"/>
    <undo index="65535" exp="area" dr="$F$7:$F$319" r="V326" sId="1"/>
    <undo index="0" exp="area" dr="V$7:V$319" r="V326" sId="1"/>
    <undo index="65535" exp="area" dr="$F$7:$F$319" r="U326" sId="1"/>
    <undo index="0" exp="area" dr="U$7:U$319" r="U326" sId="1"/>
    <undo index="65535" exp="area" dr="$F$7:$F$319" r="T326" sId="1"/>
    <undo index="0" exp="area" dr="T$7:T$319" r="T326" sId="1"/>
    <undo index="65535" exp="area" dr="$F$7:$F$319" r="S326" sId="1"/>
    <undo index="0" exp="area" dr="S$7:S$319" r="S326" sId="1"/>
    <undo index="0" exp="area" dr="F$7:F$319" r="D326" sId="1"/>
    <undo index="65535" exp="area" dr="$F$7:$F$319" r="AK325" sId="1"/>
    <undo index="0" exp="area" dr="AK$7:AK$319" r="AK325" sId="1"/>
    <undo index="65535" exp="area" dr="$F$7:$F$319" r="AJ325" sId="1"/>
    <undo index="0" exp="area" dr="AJ$7:AJ$319" r="AJ325" sId="1"/>
    <undo index="65535" exp="area" dr="$F$7:$F$319" r="AG325" sId="1"/>
    <undo index="0" exp="area" dr="AG$7:AG$319" r="AG325" sId="1"/>
    <undo index="65535" exp="area" dr="$F$7:$F$319" r="AF325" sId="1"/>
    <undo index="0" exp="area" dr="AF$7:AF$319" r="AF325" sId="1"/>
    <undo index="65535" exp="area" dr="$F$7:$F$319" r="AE325" sId="1"/>
    <undo index="0" exp="area" dr="AE$7:AE$319" r="AE325" sId="1"/>
    <undo index="65535" exp="area" dr="$F$7:$F$319" r="AD325" sId="1"/>
    <undo index="0" exp="area" dr="AD$7:AD$319" r="AD325" sId="1"/>
    <undo index="65535" exp="area" dr="$F$7:$F$319" r="AC325" sId="1"/>
    <undo index="0" exp="area" dr="AC$7:AC$319" r="AC325" sId="1"/>
    <undo index="65535" exp="area" dr="$F$7:$F$319" r="AB325" sId="1"/>
    <undo index="0" exp="area" dr="AB$7:AB$319" r="AB325" sId="1"/>
    <undo index="65535" exp="area" dr="$F$7:$F$319" r="AA325" sId="1"/>
    <undo index="0" exp="area" dr="AA$7:AA$319" r="AA325" sId="1"/>
    <undo index="65535" exp="area" dr="$F$7:$F$319" r="Z325" sId="1"/>
    <undo index="0" exp="area" dr="Z$7:Z$319" r="Z325" sId="1"/>
    <undo index="65535" exp="area" dr="$F$7:$F$319" r="Y325" sId="1"/>
    <undo index="0" exp="area" dr="Y$7:Y$319" r="Y325" sId="1"/>
    <undo index="65535" exp="area" dr="$F$7:$F$319" r="X325" sId="1"/>
    <undo index="0" exp="area" dr="X$7:X$319" r="X325" sId="1"/>
    <undo index="65535" exp="area" dr="$F$7:$F$319" r="W325" sId="1"/>
    <undo index="0" exp="area" dr="W$7:W$319" r="W325" sId="1"/>
    <undo index="65535" exp="area" dr="$F$7:$F$319" r="V325" sId="1"/>
    <undo index="0" exp="area" dr="V$7:V$319" r="V325" sId="1"/>
    <undo index="65535" exp="area" dr="$F$7:$F$319" r="U325" sId="1"/>
    <undo index="0" exp="area" dr="U$7:U$319" r="U325" sId="1"/>
    <undo index="65535" exp="area" dr="$F$7:$F$319" r="T325" sId="1"/>
    <undo index="0" exp="area" dr="T$7:T$319" r="T325" sId="1"/>
    <undo index="65535" exp="area" dr="$F$7:$F$319" r="S325" sId="1"/>
    <undo index="0" exp="area" dr="S$7:S$319" r="S325" sId="1"/>
    <undo index="0" exp="area" dr="F$7:F$319" r="D325" sId="1"/>
    <undo index="65535" exp="area" dr="$F$7:$F$319" r="AK324" sId="1"/>
    <undo index="0" exp="area" dr="AK$7:AK$319" r="AK324" sId="1"/>
    <undo index="65535" exp="area" dr="$F$7:$F$319" r="AJ324" sId="1"/>
    <undo index="0" exp="area" dr="AJ$7:AJ$319" r="AJ324" sId="1"/>
    <undo index="65535" exp="area" dr="$F$7:$F$319" r="AG324" sId="1"/>
    <undo index="0" exp="area" dr="AG$7:AG$319" r="AG324" sId="1"/>
    <undo index="65535" exp="area" dr="$F$7:$F$319" r="AF324" sId="1"/>
    <undo index="0" exp="area" dr="AF$7:AF$319" r="AF324" sId="1"/>
    <undo index="65535" exp="area" dr="$F$7:$F$319" r="AE324" sId="1"/>
    <undo index="0" exp="area" dr="AE$7:AE$319" r="AE324" sId="1"/>
    <undo index="65535" exp="area" dr="$F$7:$F$319" r="AD324" sId="1"/>
    <undo index="0" exp="area" dr="AD$7:AD$319" r="AD324" sId="1"/>
    <undo index="65535" exp="area" dr="$F$7:$F$319" r="AC324" sId="1"/>
    <undo index="0" exp="area" dr="AC$7:AC$319" r="AC324" sId="1"/>
    <undo index="65535" exp="area" dr="$F$7:$F$319" r="AB324" sId="1"/>
    <undo index="0" exp="area" dr="AB$7:AB$319" r="AB324" sId="1"/>
    <undo index="65535" exp="area" dr="$F$7:$F$319" r="AA324" sId="1"/>
    <undo index="0" exp="area" dr="AA$7:AA$319" r="AA324" sId="1"/>
    <undo index="65535" exp="area" dr="$F$7:$F$319" r="Z324" sId="1"/>
    <undo index="0" exp="area" dr="Z$7:Z$319" r="Z324" sId="1"/>
    <undo index="65535" exp="area" dr="$F$7:$F$319" r="Y324" sId="1"/>
    <undo index="0" exp="area" dr="Y$7:Y$319" r="Y324" sId="1"/>
    <undo index="65535" exp="area" dr="$F$7:$F$319" r="X324" sId="1"/>
    <undo index="0" exp="area" dr="X$7:X$319" r="X324" sId="1"/>
    <undo index="65535" exp="area" dr="$F$7:$F$319" r="W324" sId="1"/>
    <undo index="0" exp="area" dr="W$7:W$319" r="W324" sId="1"/>
    <undo index="65535" exp="area" dr="$F$7:$F$319" r="V324" sId="1"/>
    <undo index="0" exp="area" dr="V$7:V$319" r="V324" sId="1"/>
    <undo index="65535" exp="area" dr="$F$7:$F$319" r="U324" sId="1"/>
    <undo index="0" exp="area" dr="U$7:U$319" r="U324" sId="1"/>
    <undo index="65535" exp="area" dr="$F$7:$F$319" r="T324" sId="1"/>
    <undo index="0" exp="area" dr="T$7:T$319" r="T324" sId="1"/>
    <undo index="65535" exp="area" dr="$F$7:$F$319" r="S324" sId="1"/>
    <undo index="0" exp="area" dr="S$7:S$319" r="S324" sId="1"/>
    <undo index="0" exp="area" dr="F$7:F$319" r="D324" sId="1"/>
    <undo index="65535" exp="area" dr="$F$7:$F$319" r="AK323" sId="1"/>
    <undo index="0" exp="area" dr="AK$7:AK$319" r="AK323" sId="1"/>
    <undo index="65535" exp="area" dr="$F$7:$F$319" r="AJ323" sId="1"/>
    <undo index="0" exp="area" dr="AJ$7:AJ$319" r="AJ323" sId="1"/>
    <undo index="65535" exp="area" dr="$F$7:$F$319" r="AG323" sId="1"/>
    <undo index="0" exp="area" dr="AG$7:AG$319" r="AG323" sId="1"/>
    <undo index="65535" exp="area" dr="$F$7:$F$319" r="AF323" sId="1"/>
    <undo index="0" exp="area" dr="AF$7:AF$319" r="AF323" sId="1"/>
    <undo index="65535" exp="area" dr="$F$7:$F$319" r="AE323" sId="1"/>
    <undo index="0" exp="area" dr="AE$7:AE$319" r="AE323" sId="1"/>
    <undo index="65535" exp="area" dr="$F$7:$F$319" r="AD323" sId="1"/>
    <undo index="0" exp="area" dr="AD$7:AD$319" r="AD323" sId="1"/>
    <undo index="65535" exp="area" dr="$F$7:$F$319" r="AC323" sId="1"/>
    <undo index="0" exp="area" dr="AC$7:AC$319" r="AC323" sId="1"/>
    <undo index="65535" exp="area" dr="$F$7:$F$319" r="AB323" sId="1"/>
    <undo index="0" exp="area" dr="AB$7:AB$319" r="AB323" sId="1"/>
    <undo index="65535" exp="area" dr="$F$7:$F$319" r="AA323" sId="1"/>
    <undo index="0" exp="area" dr="AA$7:AA$319" r="AA323" sId="1"/>
    <undo index="65535" exp="area" dr="$F$7:$F$319" r="Z323" sId="1"/>
    <undo index="0" exp="area" dr="Z$7:Z$319" r="Z323" sId="1"/>
    <undo index="65535" exp="area" dr="$F$7:$F$319" r="Y323" sId="1"/>
    <undo index="0" exp="area" dr="Y$7:Y$319" r="Y323" sId="1"/>
    <undo index="65535" exp="area" dr="$F$7:$F$319" r="X323" sId="1"/>
    <undo index="0" exp="area" dr="X$7:X$319" r="X323" sId="1"/>
    <undo index="65535" exp="area" dr="$F$7:$F$319" r="W323" sId="1"/>
    <undo index="0" exp="area" dr="W$7:W$319" r="W323" sId="1"/>
    <undo index="65535" exp="area" dr="$F$7:$F$319" r="V323" sId="1"/>
    <undo index="0" exp="area" dr="V$7:V$319" r="V323" sId="1"/>
    <undo index="65535" exp="area" dr="$F$7:$F$319" r="U323" sId="1"/>
    <undo index="0" exp="area" dr="U$7:U$319" r="U323" sId="1"/>
    <undo index="65535" exp="area" dr="$F$7:$F$319" r="T323" sId="1"/>
    <undo index="0" exp="area" dr="T$7:T$319" r="T323" sId="1"/>
    <undo index="65535" exp="area" dr="$F$7:$F$319" r="S323" sId="1"/>
    <undo index="0" exp="area" dr="S$7:S$319" r="S323" sId="1"/>
    <undo index="0" exp="area" dr="F$136:F$319" r="D323" sId="1"/>
    <undo index="65535" exp="area" dr="$F$7:$F$319" r="AK322" sId="1"/>
    <undo index="0" exp="area" dr="AK$7:AK$319" r="AK322" sId="1"/>
    <undo index="65535" exp="area" dr="$F$7:$F$319" r="AJ322" sId="1"/>
    <undo index="0" exp="area" dr="AJ$7:AJ$319" r="AJ322" sId="1"/>
    <undo index="65535" exp="area" dr="$F$7:$F$319" r="AG322" sId="1"/>
    <undo index="0" exp="area" dr="AG$7:AG$319" r="AG322" sId="1"/>
    <undo index="65535" exp="area" dr="$F$7:$F$319" r="AF322" sId="1"/>
    <undo index="0" exp="area" dr="AF$7:AF$319" r="AF322" sId="1"/>
    <undo index="65535" exp="area" dr="$F$7:$F$319" r="AE322" sId="1"/>
    <undo index="0" exp="area" dr="AE$7:AE$319" r="AE322" sId="1"/>
    <undo index="65535" exp="area" dr="$F$7:$F$319" r="AD322" sId="1"/>
    <undo index="0" exp="area" dr="AD$7:AD$319" r="AD322" sId="1"/>
    <undo index="65535" exp="area" dr="$F$7:$F$319" r="AC322" sId="1"/>
    <undo index="0" exp="area" dr="AC$7:AC$319" r="AC322" sId="1"/>
    <undo index="65535" exp="area" dr="$F$7:$F$319" r="AB322" sId="1"/>
    <undo index="0" exp="area" dr="AB$7:AB$319" r="AB322" sId="1"/>
    <undo index="65535" exp="area" dr="$F$7:$F$319" r="AA322" sId="1"/>
    <undo index="0" exp="area" dr="AA$7:AA$319" r="AA322" sId="1"/>
    <undo index="65535" exp="area" dr="$F$7:$F$319" r="Z322" sId="1"/>
    <undo index="0" exp="area" dr="Z$7:Z$319" r="Z322" sId="1"/>
    <undo index="65535" exp="area" dr="$F$7:$F$319" r="Y322" sId="1"/>
    <undo index="0" exp="area" dr="Y$7:Y$319" r="Y322" sId="1"/>
    <undo index="65535" exp="area" dr="$F$7:$F$319" r="X322" sId="1"/>
    <undo index="0" exp="area" dr="X$7:X$319" r="X322" sId="1"/>
    <undo index="65535" exp="area" dr="$F$7:$F$319" r="W322" sId="1"/>
    <undo index="0" exp="area" dr="W$7:W$319" r="W322" sId="1"/>
    <undo index="65535" exp="area" dr="$F$7:$F$319" r="V322" sId="1"/>
    <undo index="0" exp="area" dr="V$7:V$319" r="V322" sId="1"/>
    <undo index="65535" exp="area" dr="$F$7:$F$319" r="U322" sId="1"/>
    <undo index="0" exp="area" dr="U$7:U$319" r="U322" sId="1"/>
    <undo index="65535" exp="area" dr="$F$7:$F$319" r="T322" sId="1"/>
    <undo index="0" exp="area" dr="T$7:T$319" r="T322" sId="1"/>
    <undo index="65535" exp="area" dr="$F$7:$F$319" r="S322" sId="1"/>
    <undo index="0" exp="area" dr="S$7:S$319" r="S322" sId="1"/>
    <undo index="0" exp="area" dr="F$7:F$319" r="D322" sId="1"/>
    <undo index="65535" exp="area" dr="$F$7:$F$319" r="AK321" sId="1"/>
    <undo index="0" exp="area" dr="AK$7:AK$319" r="AK321" sId="1"/>
    <undo index="65535" exp="area" dr="$F$7:$F$319" r="AJ321" sId="1"/>
    <undo index="0" exp="area" dr="AJ$7:AJ$319" r="AJ321" sId="1"/>
    <undo index="65535" exp="area" dr="$F$7:$F$319" r="AG321" sId="1"/>
    <undo index="0" exp="area" dr="AG$7:AG$319" r="AG321" sId="1"/>
    <undo index="65535" exp="area" dr="$F$7:$F$319" r="AF321" sId="1"/>
    <undo index="0" exp="area" dr="AF$7:AF$319" r="AF321" sId="1"/>
    <undo index="65535" exp="area" dr="$F$7:$F$319" r="AE321" sId="1"/>
    <undo index="0" exp="area" dr="AE$7:AE$319" r="AE321" sId="1"/>
    <undo index="65535" exp="area" dr="$F$7:$F$319" r="AD321" sId="1"/>
    <undo index="0" exp="area" dr="AD$7:AD$319" r="AD321" sId="1"/>
    <undo index="65535" exp="area" dr="$F$7:$F$319" r="AC321" sId="1"/>
    <undo index="0" exp="area" dr="AC$7:AC$319" r="AC321" sId="1"/>
    <undo index="65535" exp="area" dr="$F$7:$F$319" r="AB321" sId="1"/>
    <undo index="0" exp="area" dr="AB$7:AB$319" r="AB321" sId="1"/>
    <undo index="65535" exp="area" dr="$F$7:$F$319" r="AA321" sId="1"/>
    <undo index="0" exp="area" dr="AA$7:AA$319" r="AA321" sId="1"/>
    <undo index="65535" exp="area" dr="$F$7:$F$319" r="Z321" sId="1"/>
    <undo index="0" exp="area" dr="Z$7:Z$319" r="Z321" sId="1"/>
    <undo index="65535" exp="area" dr="$F$7:$F$319" r="Y321" sId="1"/>
    <undo index="0" exp="area" dr="Y$7:Y$319" r="Y321" sId="1"/>
    <undo index="65535" exp="area" dr="$F$7:$F$319" r="X321" sId="1"/>
    <undo index="0" exp="area" dr="X$7:X$319" r="X321" sId="1"/>
    <undo index="65535" exp="area" dr="$F$7:$F$319" r="W321" sId="1"/>
    <undo index="0" exp="area" dr="W$7:W$319" r="W321" sId="1"/>
    <undo index="65535" exp="area" dr="$F$7:$F$319" r="V321" sId="1"/>
    <undo index="0" exp="area" dr="V$7:V$319" r="V321" sId="1"/>
    <undo index="65535" exp="area" dr="$F$7:$F$319" r="U321" sId="1"/>
    <undo index="0" exp="area" dr="U$7:U$319" r="U321" sId="1"/>
    <undo index="65535" exp="area" dr="$F$7:$F$319" r="T321" sId="1"/>
    <undo index="0" exp="area" dr="T$7:T$319" r="T321" sId="1"/>
    <undo index="65535" exp="area" dr="$F$7:$F$319" r="S321" sId="1"/>
    <undo index="0" exp="area" dr="S$7:S$319" r="S321" sId="1"/>
    <undo index="0" exp="area" dr="F$7:F$319" r="D321" sId="1"/>
    <undo index="65535" exp="area" dr="$F$7:$F$319" r="AK320" sId="1"/>
    <undo index="0" exp="area" dr="AK$7:AK$319" r="AK320" sId="1"/>
    <undo index="65535" exp="area" dr="$F$7:$F$319" r="AJ320" sId="1"/>
    <undo index="0" exp="area" dr="AJ$7:AJ$319" r="AJ320" sId="1"/>
    <undo index="65535" exp="area" dr="$F$7:$F$319" r="AG320" sId="1"/>
    <undo index="0" exp="area" dr="AG$7:AG$319" r="AG320" sId="1"/>
    <undo index="65535" exp="area" dr="$F$7:$F$319" r="AF320" sId="1"/>
    <undo index="0" exp="area" dr="AF$7:AF$319" r="AF320" sId="1"/>
    <undo index="65535" exp="area" dr="$F$7:$F$319" r="AE320" sId="1"/>
    <undo index="0" exp="area" dr="AE$7:AE$319" r="AE320" sId="1"/>
    <undo index="65535" exp="area" dr="$F$7:$F$319" r="AD320" sId="1"/>
    <undo index="0" exp="area" dr="AD$7:AD$319" r="AD320" sId="1"/>
    <undo index="65535" exp="area" dr="$F$7:$F$319" r="AC320" sId="1"/>
    <undo index="0" exp="area" dr="AC$7:AC$319" r="AC320" sId="1"/>
    <undo index="65535" exp="area" dr="$F$7:$F$319" r="AB320" sId="1"/>
    <undo index="0" exp="area" dr="AB$7:AB$319" r="AB320" sId="1"/>
    <undo index="65535" exp="area" dr="$F$7:$F$319" r="AA320" sId="1"/>
    <undo index="0" exp="area" dr="AA$7:AA$319" r="AA320" sId="1"/>
    <undo index="65535" exp="area" dr="$F$7:$F$319" r="Z320" sId="1"/>
    <undo index="0" exp="area" dr="Z$7:Z$319" r="Z320" sId="1"/>
    <undo index="65535" exp="area" dr="$F$7:$F$319" r="Y320" sId="1"/>
    <undo index="0" exp="area" dr="Y$7:Y$319" r="Y320" sId="1"/>
    <undo index="65535" exp="area" dr="$F$7:$F$319" r="X320" sId="1"/>
    <undo index="0" exp="area" dr="X$7:X$319" r="X320" sId="1"/>
    <undo index="65535" exp="area" dr="$F$7:$F$319" r="W320" sId="1"/>
    <undo index="0" exp="area" dr="W$7:W$319" r="W320" sId="1"/>
    <undo index="65535" exp="area" dr="$F$7:$F$319" r="V320" sId="1"/>
    <undo index="0" exp="area" dr="V$7:V$319" r="V320" sId="1"/>
    <undo index="65535" exp="area" dr="$F$7:$F$319" r="U320" sId="1"/>
    <undo index="0" exp="area" dr="U$7:U$319" r="U320" sId="1"/>
    <undo index="65535" exp="area" dr="$F$7:$F$319" r="T320" sId="1"/>
    <undo index="0" exp="area" dr="T$7:T$319" r="T320" sId="1"/>
    <undo index="65535" exp="area" dr="$F$7:$F$319" r="S320" sId="1"/>
    <undo index="0" exp="area" dr="S$7:S$319" r="S320" sId="1"/>
    <undo index="0" exp="area" dr="F$7:F$319" r="D320" sId="1"/>
    <undo index="65535" exp="area" ref3D="1" dr="$A$1:$AK$319" dn="Z_747340EB_2B31_46D2_ACDE_4FA91E2B50F6_.wvu.FilterData" sId="1"/>
    <undo index="65535" exp="area" ref3D="1" dr="$A$1:$AK$319" dn="Z_2C296388_EDB5_4F1F_B0F4_90EC07CCD947_.wvu.FilterData" sId="1"/>
    <undo index="65535" exp="area" ref3D="1" dr="$H$1:$N$1048576" dn="Z_65B035E3_87FA_46C5_996E_864F2C8D0EBC_.wvu.Cols" sId="1"/>
    <undo index="65535" exp="area" ref3D="1" dr="$A$1:$AK$319" dn="Z_00A99CA1_F635_44AE_9E4D_C2CEC4CEF175_.wvu.FilterData" sId="1"/>
    <undo index="65535" exp="area" ref3D="1" dr="$A$1:$AK$319" dn="Z_36624B2D_80F9_4F79_AC4A_B3547C36F23F_.wvu.FilterData" sId="1"/>
    <undo index="65535" exp="area" ref3D="1" dr="$A$1:$AK$319" dn="_FilterDatabase" sId="1"/>
    <undo index="65535" exp="area" ref3D="1" dr="$A$1:$AK$319" dn="Z_5AAA4DFE_88B1_4674_95ED_5FCD7A50BC22_.wvu.FilterData" sId="1"/>
    <undo index="65535" exp="area" ref3D="1" dr="$A$1:$AK$319" dn="Z_8EDB8BF9_8BBB_4EEE_B4F0_C5928D0746DD_.wvu.FilterData" sId="1"/>
    <undo index="65535" exp="area" ref3D="1" dr="$A$1:$AK$319" dn="Z_A5B1481C_EF26_486A_984F_85CDDC2FD94F_.wvu.FilterData" sId="1"/>
    <undo index="65535" exp="area" ref3D="1" dr="$A$1:$AK$319" dn="Z_AD1D8E66_18A9_4CB7_BBE4_02F7E757257F_.wvu.FilterData" sId="1"/>
    <undo index="65535" exp="area" ref3D="1" dr="$A$1:$AK$319" dn="Z_EA64E7D7_BA48_4965_B650_778AE412FE0C_.wvu.FilterData" sId="1"/>
    <undo index="65535" exp="area" ref3D="1" dr="$A$1:$AK$319" dn="Z_FE50EAC0_52A5_4C33_B973_65E93D03D3EA_.wvu.FilterData" sId="1"/>
    <undo index="65535" exp="area" ref3D="1" dr="$A$1:$AK$319" dn="Z_BBF2EF6C_D4AD_46E1_803F_582F4D45F852_.wvu.FilterData" sId="1"/>
    <undo index="65535" exp="area" ref3D="1" dr="$A$1:$AK$319" dn="Z_FCCA78F5_8D30_45DE_9D44_7E25322461D6_.wvu.FilterData"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1" sqref="S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T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U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V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W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X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Y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Z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AA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AB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AC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AD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AE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AF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AG3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qref="AI319" start="0" length="0">
      <dxf>
        <alignment vertical="top" wrapText="1"/>
      </dxf>
    </rfmt>
  </rrc>
  <rrc rId="6192" sId="1" ref="A319:XFD319" action="deleteRow">
    <undo index="65535" exp="area" dr="AK319:AK326" r="AK327" sId="1"/>
    <undo index="65535" exp="area" dr="AJ319:AJ326" r="AJ327" sId="1"/>
    <undo index="65535" exp="area" dr="AI319:AI326" r="AI327" sId="1"/>
    <undo index="65535" exp="area" dr="AH319:AH326" r="AH327" sId="1"/>
    <undo index="65535" exp="area" dr="AG319:AG326" r="AG327" sId="1"/>
    <undo index="65535" exp="area" dr="AF319:AF326" r="AF327" sId="1"/>
    <undo index="65535" exp="area" dr="AE319:AE326" r="AE327" sId="1"/>
    <undo index="65535" exp="area" dr="AD319:AD326" r="AD327" sId="1"/>
    <undo index="65535" exp="area" dr="AC319:AC326" r="AC327" sId="1"/>
    <undo index="65535" exp="area" dr="AB319:AB326" r="AB327" sId="1"/>
    <undo index="65535" exp="area" dr="AA319:AA326" r="AA327" sId="1"/>
    <undo index="65535" exp="area" dr="Z319:Z326" r="Z327" sId="1"/>
    <undo index="65535" exp="area" dr="Y319:Y326" r="Y327" sId="1"/>
    <undo index="65535" exp="area" dr="X319:X326" r="X327" sId="1"/>
    <undo index="65535" exp="area" dr="W319:W326" r="W327" sId="1"/>
    <undo index="65535" exp="area" dr="V319:V326" r="V327" sId="1"/>
    <undo index="65535" exp="area" dr="U319:U326" r="U327" sId="1"/>
    <undo index="65535" exp="area" dr="T319:T326" r="T327" sId="1"/>
    <undo index="65535" exp="area" dr="S319:S326" r="S327" sId="1"/>
    <undo index="65535" exp="area" dr="D319:D326" r="D327" sId="1"/>
    <undo index="65535" exp="area" ref3D="1" dr="$H$1:$N$1048576" dn="Z_65B035E3_87FA_46C5_996E_864F2C8D0EBC_.wvu.Cols" sId="1"/>
    <rfmt sheetId="1" xfDxf="1" sqref="A319:XFD319" start="0" length="0">
      <dxf>
        <font>
          <b/>
        </font>
      </dxf>
    </rfmt>
    <rfmt sheetId="1" sqref="A319" start="0" length="0">
      <dxf>
        <font>
          <b val="0"/>
          <sz val="12"/>
        </font>
        <border outline="0">
          <left style="thin">
            <color indexed="64"/>
          </left>
          <right style="thin">
            <color indexed="64"/>
          </right>
          <top style="thin">
            <color indexed="64"/>
          </top>
          <bottom style="thin">
            <color indexed="64"/>
          </bottom>
        </border>
      </dxf>
    </rfmt>
    <rfmt sheetId="1" sqref="B319" start="0" length="0">
      <dxf>
        <font>
          <b val="0"/>
          <sz val="12"/>
        </font>
        <border outline="0">
          <left style="thin">
            <color indexed="64"/>
          </left>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IP1/2015</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193" sId="1" ref="A319:XFD319" action="deleteRow">
    <undo index="65535" exp="area" dr="AK319:AK325" r="AK326" sId="1"/>
    <undo index="65535" exp="area" dr="AJ319:AJ325" r="AJ326" sId="1"/>
    <undo index="65535" exp="area" dr="AI319:AI325" r="AI326" sId="1"/>
    <undo index="65535" exp="area" dr="AH319:AH325" r="AH326" sId="1"/>
    <undo index="65535" exp="area" dr="AG319:AG325" r="AG326" sId="1"/>
    <undo index="65535" exp="area" dr="AF319:AF325" r="AF326" sId="1"/>
    <undo index="65535" exp="area" dr="AE319:AE325" r="AE326" sId="1"/>
    <undo index="65535" exp="area" dr="AD319:AD325" r="AD326" sId="1"/>
    <undo index="65535" exp="area" dr="AC319:AC325" r="AC326" sId="1"/>
    <undo index="65535" exp="area" dr="AB319:AB325" r="AB326" sId="1"/>
    <undo index="65535" exp="area" dr="AA319:AA325" r="AA326" sId="1"/>
    <undo index="65535" exp="area" dr="Z319:Z325" r="Z326" sId="1"/>
    <undo index="65535" exp="area" dr="Y319:Y325" r="Y326" sId="1"/>
    <undo index="65535" exp="area" dr="X319:X325" r="X326" sId="1"/>
    <undo index="65535" exp="area" dr="W319:W325" r="W326" sId="1"/>
    <undo index="65535" exp="area" dr="V319:V325" r="V326" sId="1"/>
    <undo index="65535" exp="area" dr="U319:U325" r="U326" sId="1"/>
    <undo index="65535" exp="area" dr="T319:T325" r="T326" sId="1"/>
    <undo index="65535" exp="area" dr="S319:S325" r="S326" sId="1"/>
    <undo index="65535" exp="area" dr="D319:D325" r="D326" sId="1"/>
    <undo index="65535" exp="area" ref3D="1" dr="$H$1:$N$1048576" dn="Z_65B035E3_87FA_46C5_996E_864F2C8D0EBC_.wvu.Cols" sId="1"/>
    <rfmt sheetId="1" xfDxf="1" sqref="A319:XFD319" start="0" length="0">
      <dxf>
        <font>
          <b/>
          <sz val="12"/>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IP3/2016</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194" sId="1" ref="A319:XFD319" action="deleteRow">
    <undo index="65535" exp="area" dr="AK319:AK324" r="AK325" sId="1"/>
    <undo index="65535" exp="area" dr="AJ319:AJ324" r="AJ325" sId="1"/>
    <undo index="65535" exp="area" dr="AI319:AI324" r="AI325" sId="1"/>
    <undo index="65535" exp="area" dr="AH319:AH324" r="AH325" sId="1"/>
    <undo index="65535" exp="area" dr="AG319:AG324" r="AG325" sId="1"/>
    <undo index="65535" exp="area" dr="AF319:AF324" r="AF325" sId="1"/>
    <undo index="65535" exp="area" dr="AE319:AE324" r="AE325" sId="1"/>
    <undo index="65535" exp="area" dr="AD319:AD324" r="AD325" sId="1"/>
    <undo index="65535" exp="area" dr="AC319:AC324" r="AC325" sId="1"/>
    <undo index="65535" exp="area" dr="AB319:AB324" r="AB325" sId="1"/>
    <undo index="65535" exp="area" dr="AA319:AA324" r="AA325" sId="1"/>
    <undo index="65535" exp="area" dr="Z319:Z324" r="Z325" sId="1"/>
    <undo index="65535" exp="area" dr="Y319:Y324" r="Y325" sId="1"/>
    <undo index="65535" exp="area" dr="X319:X324" r="X325" sId="1"/>
    <undo index="65535" exp="area" dr="W319:W324" r="W325" sId="1"/>
    <undo index="65535" exp="area" dr="V319:V324" r="V325" sId="1"/>
    <undo index="65535" exp="area" dr="U319:U324" r="U325" sId="1"/>
    <undo index="65535" exp="area" dr="T319:T324" r="T325" sId="1"/>
    <undo index="65535" exp="area" dr="S319:S324" r="S325" sId="1"/>
    <undo index="65535" exp="area" dr="D319:D324" r="D325" sId="1"/>
    <undo index="65535" exp="area" ref3D="1" dr="$H$1:$N$1048576" dn="Z_65B035E3_87FA_46C5_996E_864F2C8D0EBC_.wvu.Cols" sId="1"/>
    <rfmt sheetId="1" xfDxf="1" sqref="A319:XFD319" start="0" length="0">
      <dxf>
        <font>
          <b/>
          <sz val="12"/>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 xml:space="preserve">TOTAL </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IP5/2016</t>
        </is>
      </nc>
      <ndxf>
        <alignment horizontal="left" vertical="center"/>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195" sId="1" ref="A319:XFD319" action="deleteRow">
    <undo index="65535" exp="area" dr="AK319:AK323" r="AK324" sId="1"/>
    <undo index="65535" exp="area" dr="AJ319:AJ323" r="AJ324" sId="1"/>
    <undo index="65535" exp="area" dr="AI319:AI323" r="AI324" sId="1"/>
    <undo index="65535" exp="area" dr="AH319:AH323" r="AH324" sId="1"/>
    <undo index="65535" exp="area" dr="AG319:AG323" r="AG324" sId="1"/>
    <undo index="65535" exp="area" dr="AF319:AF323" r="AF324" sId="1"/>
    <undo index="65535" exp="area" dr="AE319:AE323" r="AE324" sId="1"/>
    <undo index="65535" exp="area" dr="AD319:AD323" r="AD324" sId="1"/>
    <undo index="65535" exp="area" dr="AC319:AC323" r="AC324" sId="1"/>
    <undo index="65535" exp="area" dr="AB319:AB323" r="AB324" sId="1"/>
    <undo index="65535" exp="area" dr="AA319:AA323" r="AA324" sId="1"/>
    <undo index="65535" exp="area" dr="Z319:Z323" r="Z324" sId="1"/>
    <undo index="65535" exp="area" dr="Y319:Y323" r="Y324" sId="1"/>
    <undo index="65535" exp="area" dr="X319:X323" r="X324" sId="1"/>
    <undo index="65535" exp="area" dr="W319:W323" r="W324" sId="1"/>
    <undo index="65535" exp="area" dr="V319:V323" r="V324" sId="1"/>
    <undo index="65535" exp="area" dr="U319:U323" r="U324" sId="1"/>
    <undo index="65535" exp="area" dr="T319:T323" r="T324" sId="1"/>
    <undo index="65535" exp="area" dr="S319:S323" r="S324" sId="1"/>
    <undo index="65535" exp="area" dr="D319:D323" r="D324"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COUNTIFS(F$136:F$318,$F319)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IP4/2016</t>
        </is>
      </nc>
      <ndxf>
        <font>
          <sz val="12"/>
        </font>
        <alignment horizontal="left" vertical="center"/>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196" sId="1" ref="A319:XFD319" action="deleteRow">
    <undo index="65535" exp="area" dr="AK319:AK322" r="AK323" sId="1"/>
    <undo index="65535" exp="area" dr="AJ319:AJ322" r="AJ323" sId="1"/>
    <undo index="65535" exp="area" dr="AI319:AI322" r="AI323" sId="1"/>
    <undo index="65535" exp="area" dr="AH319:AH322" r="AH323" sId="1"/>
    <undo index="65535" exp="area" dr="AG319:AG322" r="AG323" sId="1"/>
    <undo index="65535" exp="area" dr="AF319:AF322" r="AF323" sId="1"/>
    <undo index="65535" exp="area" dr="AE319:AE322" r="AE323" sId="1"/>
    <undo index="65535" exp="area" dr="AD319:AD322" r="AD323" sId="1"/>
    <undo index="65535" exp="area" dr="AC319:AC322" r="AC323" sId="1"/>
    <undo index="65535" exp="area" dr="AB319:AB322" r="AB323" sId="1"/>
    <undo index="65535" exp="area" dr="AA319:AA322" r="AA323" sId="1"/>
    <undo index="65535" exp="area" dr="Z319:Z322" r="Z323" sId="1"/>
    <undo index="65535" exp="area" dr="Y319:Y322" r="Y323" sId="1"/>
    <undo index="65535" exp="area" dr="X319:X322" r="X323" sId="1"/>
    <undo index="65535" exp="area" dr="W319:W322" r="W323" sId="1"/>
    <undo index="65535" exp="area" dr="V319:V322" r="V323" sId="1"/>
    <undo index="65535" exp="area" dr="U319:U322" r="U323" sId="1"/>
    <undo index="65535" exp="area" dr="T319:T322" r="T323" sId="1"/>
    <undo index="65535" exp="area" dr="S319:S322" r="S323" sId="1"/>
    <undo index="65535" exp="area" dr="D319:D322" r="D323"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IP6/2016</t>
        </is>
      </nc>
      <ndxf>
        <font>
          <sz val="12"/>
        </font>
        <alignment horizontal="left" vertical="center"/>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197" sId="1" ref="A319:XFD319" action="deleteRow">
    <undo index="65535" exp="area" dr="AK319:AK321" r="AK322" sId="1"/>
    <undo index="65535" exp="area" dr="AJ319:AJ321" r="AJ322" sId="1"/>
    <undo index="65535" exp="area" dr="AI319:AI321" r="AI322" sId="1"/>
    <undo index="65535" exp="area" dr="AH319:AH321" r="AH322" sId="1"/>
    <undo index="65535" exp="area" dr="AG319:AG321" r="AG322" sId="1"/>
    <undo index="65535" exp="area" dr="AF319:AF321" r="AF322" sId="1"/>
    <undo index="65535" exp="area" dr="AE319:AE321" r="AE322" sId="1"/>
    <undo index="65535" exp="area" dr="AD319:AD321" r="AD322" sId="1"/>
    <undo index="65535" exp="area" dr="AC319:AC321" r="AC322" sId="1"/>
    <undo index="65535" exp="area" dr="AB319:AB321" r="AB322" sId="1"/>
    <undo index="65535" exp="area" dr="AA319:AA321" r="AA322" sId="1"/>
    <undo index="65535" exp="area" dr="Z319:Z321" r="Z322" sId="1"/>
    <undo index="65535" exp="area" dr="Y319:Y321" r="Y322" sId="1"/>
    <undo index="65535" exp="area" dr="X319:X321" r="X322" sId="1"/>
    <undo index="65535" exp="area" dr="W319:W321" r="W322" sId="1"/>
    <undo index="65535" exp="area" dr="V319:V321" r="V322" sId="1"/>
    <undo index="65535" exp="area" dr="U319:U321" r="U322" sId="1"/>
    <undo index="65535" exp="area" dr="T319:T321" r="T322" sId="1"/>
    <undo index="65535" exp="area" dr="S319:S321" r="S322" sId="1"/>
    <undo index="65535" exp="area" dr="D319:D321" r="D322"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CP 2/2017 (MySMIS: POCA/111/1/1)</t>
        </is>
      </nc>
      <ndxf>
        <font>
          <sz val="12"/>
        </font>
        <alignment horizontal="left" vertical="center" wrapText="1"/>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198" sId="1" ref="A319:XFD319" action="deleteRow">
    <undo index="65535" exp="area" dr="AK319:AK320" r="AK321" sId="1"/>
    <undo index="65535" exp="area" dr="AJ319:AJ320" r="AJ321" sId="1"/>
    <undo index="65535" exp="area" dr="AI319:AI320" r="AI321" sId="1"/>
    <undo index="65535" exp="area" dr="AH319:AH320" r="AH321" sId="1"/>
    <undo index="65535" exp="area" dr="AG319:AG320" r="AG321" sId="1"/>
    <undo index="65535" exp="area" dr="AF319:AF320" r="AF321" sId="1"/>
    <undo index="65535" exp="area" dr="AE319:AE320" r="AE321" sId="1"/>
    <undo index="65535" exp="area" dr="AD319:AD320" r="AD321" sId="1"/>
    <undo index="65535" exp="area" dr="AC319:AC320" r="AC321" sId="1"/>
    <undo index="65535" exp="area" dr="AB319:AB320" r="AB321" sId="1"/>
    <undo index="65535" exp="area" dr="AA319:AA320" r="AA321" sId="1"/>
    <undo index="65535" exp="area" dr="Z319:Z320" r="Z321" sId="1"/>
    <undo index="65535" exp="area" dr="Y319:Y320" r="Y321" sId="1"/>
    <undo index="65535" exp="area" dr="X319:X320" r="X321" sId="1"/>
    <undo index="65535" exp="area" dr="W319:W320" r="W321" sId="1"/>
    <undo index="65535" exp="area" dr="V319:V320" r="V321" sId="1"/>
    <undo index="65535" exp="area" dr="U319:U320" r="U321" sId="1"/>
    <undo index="65535" exp="area" dr="T319:T320" r="T321" sId="1"/>
    <undo index="65535" exp="area" dr="S319:S320" r="S321" sId="1"/>
    <undo index="65535" exp="area" dr="D319:D320" r="D321"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IP8/2017 (MySMIS:
POCA/129/1/1)</t>
        </is>
      </nc>
      <ndxf>
        <font>
          <sz val="12"/>
        </font>
        <alignment horizontal="left" vertical="center" wrapText="1"/>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199" sId="1" ref="A319:XFD319" action="deleteRow">
    <undo index="65535" exp="area" dr="AK319" r="AK320" sId="1"/>
    <undo index="65535" exp="area" dr="AJ319" r="AJ320" sId="1"/>
    <undo index="65535" exp="area" dr="AI319" r="AI320" sId="1"/>
    <undo index="65535" exp="area" dr="AH319" r="AH320" sId="1"/>
    <undo index="65535" exp="area" dr="AG319" r="AG320" sId="1"/>
    <undo index="65535" exp="area" dr="AF319" r="AF320" sId="1"/>
    <undo index="65535" exp="area" dr="AE319" r="AE320" sId="1"/>
    <undo index="65535" exp="area" dr="AD319" r="AD320" sId="1"/>
    <undo index="65535" exp="area" dr="AC319" r="AC320" sId="1"/>
    <undo index="65535" exp="area" dr="AB319" r="AB320" sId="1"/>
    <undo index="65535" exp="area" dr="AA319" r="AA320" sId="1"/>
    <undo index="65535" exp="area" dr="Z319" r="Z320" sId="1"/>
    <undo index="65535" exp="area" dr="Y319" r="Y320" sId="1"/>
    <undo index="65535" exp="area" dr="X319" r="X320" sId="1"/>
    <undo index="65535" exp="area" dr="W319" r="W320" sId="1"/>
    <undo index="65535" exp="area" dr="V319" r="V320" sId="1"/>
    <undo index="65535" exp="area" dr="U319" r="U320" sId="1"/>
    <undo index="65535" exp="area" dr="T319" r="T320" sId="1"/>
    <undo index="65535" exp="area" dr="S319" r="S320" sId="1"/>
    <undo index="65535" exp="area" dr="D319" r="D320"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IP12/2018
(MuSMIS: 
POCA/ 399/1/1)</t>
        </is>
      </nc>
      <ndxf>
        <font>
          <sz val="12"/>
        </font>
        <alignment vertical="center" wrapText="1"/>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00" sId="1" ref="A319:XFD319" action="deleteRow">
    <undo index="0" exp="ref" v="1" dr="AK319" r="AK336" sId="1"/>
    <undo index="0" exp="ref" v="1" dr="AJ319" r="AJ336" sId="1"/>
    <undo index="0" exp="ref" v="1" dr="AI319" r="AI336" sId="1"/>
    <undo index="0" exp="ref" v="1" dr="AH319" r="AH336" sId="1"/>
    <undo index="0" exp="ref" v="1" dr="AG319" r="AG336" sId="1"/>
    <undo index="0" exp="ref" v="1" dr="AF319" r="AF336" sId="1"/>
    <undo index="0" exp="ref" v="1" dr="AE319" r="AE336" sId="1"/>
    <undo index="0" exp="ref" v="1" dr="AD319" r="AD336" sId="1"/>
    <undo index="0" exp="ref" v="1" dr="AC319" r="AC336" sId="1"/>
    <undo index="0" exp="ref" v="1" dr="AB319" r="AB336" sId="1"/>
    <undo index="0" exp="ref" v="1" dr="AA319" r="AA336" sId="1"/>
    <undo index="0" exp="ref" v="1" dr="Z319" r="Z336" sId="1"/>
    <undo index="0" exp="ref" v="1" dr="Y319" r="Y336" sId="1"/>
    <undo index="0" exp="ref" v="1" dr="X319" r="X336" sId="1"/>
    <undo index="0" exp="ref" v="1" dr="W319" r="W336" sId="1"/>
    <undo index="0" exp="ref" v="1" dr="V319" r="V336" sId="1"/>
    <undo index="0" exp="ref" v="1" dr="U319" r="U336" sId="1"/>
    <undo index="0" exp="ref" v="1" dr="T319" r="T336" sId="1"/>
    <undo index="0" exp="ref" v="1" dr="S319" r="S336" sId="1"/>
    <undo index="65535" exp="ref" v="1" dr="D319" r="D336"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numFmt numFmtId="4" formatCode="#,##0.00"/>
        <alignment horizontal="center" vertical="center" wrapText="1"/>
        <border outline="0">
          <left style="thin">
            <color indexed="64"/>
          </left>
          <right style="thin">
            <color indexed="64"/>
          </right>
          <top style="thin">
            <color indexed="64"/>
          </top>
          <bottom style="thin">
            <color indexed="64"/>
          </bottom>
        </border>
      </dxf>
    </rfmt>
    <rcc rId="0" sId="1" dxf="1">
      <nc r="D319">
        <f>SUM(#REF!)</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 AXA 1</t>
        </is>
      </nc>
      <ndxf>
        <font>
          <sz val="12"/>
          <color auto="1"/>
        </font>
        <alignment horizontal="center" vertical="center" wrapText="1"/>
        <border outline="0">
          <left style="thin">
            <color indexed="64"/>
          </left>
          <right style="thin">
            <color indexed="64"/>
          </right>
          <top style="thin">
            <color indexed="64"/>
          </top>
          <bottom style="thin">
            <color indexed="64"/>
          </bottom>
        </border>
      </ndxf>
    </rcc>
    <rfmt sheetId="1" sqref="F319" start="0" length="0">
      <dxf>
        <font>
          <sz val="12"/>
        </font>
        <alignment horizontal="left" vertical="center"/>
        <border outline="0">
          <left style="thin">
            <color indexed="64"/>
          </left>
          <right style="thin">
            <color indexed="64"/>
          </right>
          <top style="thin">
            <color indexed="64"/>
          </top>
          <bottom style="thin">
            <color indexed="64"/>
          </bottom>
        </border>
      </dxf>
    </rfmt>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H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I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J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01" sId="1" ref="A319:XFD319" action="deleteRow">
    <undo index="65535" exp="area" dr="AK319:AK332" r="AK333" sId="1"/>
    <undo index="65535" exp="area" dr="AJ319:AJ332" r="AJ333" sId="1"/>
    <undo index="65535" exp="area" dr="AI319:AI332" r="AI333" sId="1"/>
    <undo index="65535" exp="area" dr="AH319:AH332" r="AH333" sId="1"/>
    <undo index="65535" exp="area" dr="AG319:AG332" r="AG333" sId="1"/>
    <undo index="65535" exp="area" dr="AF319:AF332" r="AF333" sId="1"/>
    <undo index="65535" exp="area" dr="AE319:AE332" r="AE333" sId="1"/>
    <undo index="65535" exp="area" dr="AD319:AD332" r="AD333" sId="1"/>
    <undo index="65535" exp="area" dr="AC319:AC332" r="AC333" sId="1"/>
    <undo index="65535" exp="area" dr="AB319:AB332" r="AB333" sId="1"/>
    <undo index="65535" exp="area" dr="AA319:AA332" r="AA333" sId="1"/>
    <undo index="65535" exp="area" dr="Z319:Z332" r="Z333" sId="1"/>
    <undo index="65535" exp="area" dr="Y319:Y332" r="Y333" sId="1"/>
    <undo index="65535" exp="area" dr="X319:X332" r="X333" sId="1"/>
    <undo index="65535" exp="area" dr="W319:W332" r="W333" sId="1"/>
    <undo index="65535" exp="area" dr="V319:V332" r="V333" sId="1"/>
    <undo index="65535" exp="area" dr="U319:U332" r="U333" sId="1"/>
    <undo index="65535" exp="area" dr="T319:T332" r="T333" sId="1"/>
    <undo index="65535" exp="area" dr="S319:S332" r="S333" sId="1"/>
    <undo index="65535" exp="area" dr="D319:D332" r="D333"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IP2/2015</t>
        </is>
      </nc>
      <ndxf>
        <font>
          <sz val="12"/>
        </font>
        <alignment horizontal="left" vertical="center"/>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02" sId="1" ref="A319:XFD319" action="deleteRow">
    <undo index="65535" exp="area" dr="AK319:AK331" r="AK332" sId="1"/>
    <undo index="65535" exp="area" dr="AJ319:AJ331" r="AJ332" sId="1"/>
    <undo index="65535" exp="area" dr="AI319:AI331" r="AI332" sId="1"/>
    <undo index="65535" exp="area" dr="AH319:AH331" r="AH332" sId="1"/>
    <undo index="65535" exp="area" dr="AG319:AG331" r="AG332" sId="1"/>
    <undo index="65535" exp="area" dr="AF319:AF331" r="AF332" sId="1"/>
    <undo index="65535" exp="area" dr="AE319:AE331" r="AE332" sId="1"/>
    <undo index="65535" exp="area" dr="AD319:AD331" r="AD332" sId="1"/>
    <undo index="65535" exp="area" dr="AC319:AC331" r="AC332" sId="1"/>
    <undo index="65535" exp="area" dr="AB319:AB331" r="AB332" sId="1"/>
    <undo index="65535" exp="area" dr="AA319:AA331" r="AA332" sId="1"/>
    <undo index="65535" exp="area" dr="Z319:Z331" r="Z332" sId="1"/>
    <undo index="65535" exp="area" dr="Y319:Y331" r="Y332" sId="1"/>
    <undo index="65535" exp="area" dr="X319:X331" r="X332" sId="1"/>
    <undo index="65535" exp="area" dr="W319:W331" r="W332" sId="1"/>
    <undo index="65535" exp="area" dr="V319:V331" r="V332" sId="1"/>
    <undo index="65535" exp="area" dr="U319:U331" r="U332" sId="1"/>
    <undo index="65535" exp="area" dr="T319:T331" r="T332" sId="1"/>
    <undo index="65535" exp="area" dr="S319:S331" r="S332" sId="1"/>
    <undo index="65535" exp="area" dr="D319:D331" r="D332"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 xml:space="preserve">TOTAL </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IP7/2017</t>
        </is>
      </nc>
      <ndxf>
        <font>
          <sz val="12"/>
        </font>
        <alignment horizontal="left" vertical="center"/>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03" sId="1" ref="A319:XFD319" action="deleteRow">
    <undo index="65535" exp="area" dr="AK319:AK330" r="AK331" sId="1"/>
    <undo index="65535" exp="area" dr="AJ319:AJ330" r="AJ331" sId="1"/>
    <undo index="65535" exp="area" dr="AI319:AI330" r="AI331" sId="1"/>
    <undo index="65535" exp="area" dr="AH319:AH330" r="AH331" sId="1"/>
    <undo index="65535" exp="area" dr="AG319:AG330" r="AG331" sId="1"/>
    <undo index="65535" exp="area" dr="AF319:AF330" r="AF331" sId="1"/>
    <undo index="65535" exp="area" dr="AE319:AE330" r="AE331" sId="1"/>
    <undo index="65535" exp="area" dr="AD319:AD330" r="AD331" sId="1"/>
    <undo index="65535" exp="area" dr="AC319:AC330" r="AC331" sId="1"/>
    <undo index="65535" exp="area" dr="AB319:AB330" r="AB331" sId="1"/>
    <undo index="65535" exp="area" dr="AA319:AA330" r="AA331" sId="1"/>
    <undo index="65535" exp="area" dr="Z319:Z330" r="Z331" sId="1"/>
    <undo index="65535" exp="area" dr="Y319:Y330" r="Y331" sId="1"/>
    <undo index="65535" exp="area" dr="X319:X330" r="X331" sId="1"/>
    <undo index="65535" exp="area" dr="W319:W330" r="W331" sId="1"/>
    <undo index="65535" exp="area" dr="V319:V330" r="V331" sId="1"/>
    <undo index="65535" exp="area" dr="U319:U330" r="U331" sId="1"/>
    <undo index="65535" exp="area" dr="T319:T330" r="T331" sId="1"/>
    <undo index="65535" exp="area" dr="S319:S330" r="S331" sId="1"/>
    <undo index="65535" exp="area" dr="D319:D330" r="D331"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 xml:space="preserve">TOTAL </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CP4 more /2017</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04" sId="1" ref="A319:XFD319" action="deleteRow">
    <undo index="65535" exp="area" dr="AK319:AK329" r="AK330" sId="1"/>
    <undo index="65535" exp="area" dr="AJ319:AJ329" r="AJ330" sId="1"/>
    <undo index="65535" exp="area" dr="AI319:AI329" r="AI330" sId="1"/>
    <undo index="65535" exp="area" dr="AH319:AH329" r="AH330" sId="1"/>
    <undo index="65535" exp="area" dr="AG319:AG329" r="AG330" sId="1"/>
    <undo index="65535" exp="area" dr="AF319:AF329" r="AF330" sId="1"/>
    <undo index="65535" exp="area" dr="AE319:AE329" r="AE330" sId="1"/>
    <undo index="65535" exp="area" dr="AD319:AD329" r="AD330" sId="1"/>
    <undo index="65535" exp="area" dr="AC319:AC329" r="AC330" sId="1"/>
    <undo index="65535" exp="area" dr="AB319:AB329" r="AB330" sId="1"/>
    <undo index="65535" exp="area" dr="AA319:AA329" r="AA330" sId="1"/>
    <undo index="65535" exp="area" dr="Z319:Z329" r="Z330" sId="1"/>
    <undo index="65535" exp="area" dr="Y319:Y329" r="Y330" sId="1"/>
    <undo index="65535" exp="area" dr="X319:X329" r="X330" sId="1"/>
    <undo index="65535" exp="area" dr="W319:W329" r="W330" sId="1"/>
    <undo index="65535" exp="area" dr="V319:V329" r="V330" sId="1"/>
    <undo index="65535" exp="area" dr="U319:U329" r="U330" sId="1"/>
    <undo index="65535" exp="area" dr="T319:T329" r="T330" sId="1"/>
    <undo index="65535" exp="area" dr="S319:S329" r="S330" sId="1"/>
    <undo index="65535" exp="area" dr="D319:D329" r="D330"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 xml:space="preserve">TOTAL </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CP4 less /2017</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05" sId="1" ref="A319:XFD319" action="deleteRow">
    <undo index="65535" exp="area" dr="AK319:AK328" r="AK329" sId="1"/>
    <undo index="65535" exp="area" dr="AJ319:AJ328" r="AJ329" sId="1"/>
    <undo index="65535" exp="area" dr="AI319:AI328" r="AI329" sId="1"/>
    <undo index="65535" exp="area" dr="AH319:AH328" r="AH329" sId="1"/>
    <undo index="65535" exp="area" dr="AG319:AG328" r="AG329" sId="1"/>
    <undo index="65535" exp="area" dr="AF319:AF328" r="AF329" sId="1"/>
    <undo index="65535" exp="area" dr="AE319:AE328" r="AE329" sId="1"/>
    <undo index="65535" exp="area" dr="AD319:AD328" r="AD329" sId="1"/>
    <undo index="65535" exp="area" dr="AC319:AC328" r="AC329" sId="1"/>
    <undo index="65535" exp="area" dr="AB319:AB328" r="AB329" sId="1"/>
    <undo index="65535" exp="area" dr="AA319:AA328" r="AA329" sId="1"/>
    <undo index="65535" exp="area" dr="Z319:Z328" r="Z329" sId="1"/>
    <undo index="65535" exp="area" dr="Y319:Y328" r="Y329" sId="1"/>
    <undo index="65535" exp="area" dr="X319:X328" r="X329" sId="1"/>
    <undo index="65535" exp="area" dr="W319:W328" r="W329" sId="1"/>
    <undo index="65535" exp="area" dr="V319:V328" r="V329" sId="1"/>
    <undo index="65535" exp="area" dr="U319:U328" r="U329" sId="1"/>
    <undo index="65535" exp="area" dr="T319:T328" r="T329" sId="1"/>
    <undo index="65535" exp="area" dr="S319:S328" r="S329" sId="1"/>
    <undo index="65535" exp="area" dr="D319:D328" r="D329"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CP6 less /2017</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06" sId="1" ref="A319:XFD319" action="deleteRow">
    <undo index="65535" exp="area" dr="AK319:AK327" r="AK328" sId="1"/>
    <undo index="65535" exp="area" dr="AJ319:AJ327" r="AJ328" sId="1"/>
    <undo index="65535" exp="area" dr="AI319:AI327" r="AI328" sId="1"/>
    <undo index="65535" exp="area" dr="AH319:AH327" r="AH328" sId="1"/>
    <undo index="65535" exp="area" dr="AG319:AG327" r="AG328" sId="1"/>
    <undo index="65535" exp="area" dr="AF319:AF327" r="AF328" sId="1"/>
    <undo index="65535" exp="area" dr="AE319:AE327" r="AE328" sId="1"/>
    <undo index="65535" exp="area" dr="AD319:AD327" r="AD328" sId="1"/>
    <undo index="65535" exp="area" dr="AC319:AC327" r="AC328" sId="1"/>
    <undo index="65535" exp="area" dr="AB319:AB327" r="AB328" sId="1"/>
    <undo index="65535" exp="area" dr="AA319:AA327" r="AA328" sId="1"/>
    <undo index="65535" exp="area" dr="Z319:Z327" r="Z328" sId="1"/>
    <undo index="65535" exp="area" dr="Y319:Y327" r="Y328" sId="1"/>
    <undo index="65535" exp="area" dr="X319:X327" r="X328" sId="1"/>
    <undo index="65535" exp="area" dr="W319:W327" r="W328" sId="1"/>
    <undo index="65535" exp="area" dr="V319:V327" r="V328" sId="1"/>
    <undo index="65535" exp="area" dr="U319:U327" r="U328" sId="1"/>
    <undo index="65535" exp="area" dr="T319:T327" r="T328" sId="1"/>
    <undo index="65535" exp="area" dr="S319:S327" r="S328" sId="1"/>
    <undo index="65535" exp="area" dr="D319:D327" r="D328"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CP6 more /2017</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07" sId="1" ref="A319:XFD319" action="deleteRow">
    <undo index="65535" exp="area" dr="AK319:AK326" r="AK327" sId="1"/>
    <undo index="65535" exp="area" dr="AJ319:AJ326" r="AJ327" sId="1"/>
    <undo index="65535" exp="area" dr="AI319:AI326" r="AI327" sId="1"/>
    <undo index="65535" exp="area" dr="AH319:AH326" r="AH327" sId="1"/>
    <undo index="65535" exp="area" dr="AG319:AG326" r="AG327" sId="1"/>
    <undo index="65535" exp="area" dr="AF319:AF326" r="AF327" sId="1"/>
    <undo index="65535" exp="area" dr="AE319:AE326" r="AE327" sId="1"/>
    <undo index="65535" exp="area" dr="AD319:AD326" r="AD327" sId="1"/>
    <undo index="65535" exp="area" dr="AC319:AC326" r="AC327" sId="1"/>
    <undo index="65535" exp="area" dr="AB319:AB326" r="AB327" sId="1"/>
    <undo index="65535" exp="area" dr="AA319:AA326" r="AA327" sId="1"/>
    <undo index="65535" exp="area" dr="Z319:Z326" r="Z327" sId="1"/>
    <undo index="65535" exp="area" dr="Y319:Y326" r="Y327" sId="1"/>
    <undo index="65535" exp="area" dr="X319:X326" r="X327" sId="1"/>
    <undo index="65535" exp="area" dr="W319:W326" r="W327" sId="1"/>
    <undo index="65535" exp="area" dr="V319:V326" r="V327" sId="1"/>
    <undo index="65535" exp="area" dr="U319:U326" r="U327" sId="1"/>
    <undo index="65535" exp="area" dr="T319:T326" r="T327" sId="1"/>
    <undo index="65535" exp="area" dr="S319:S326" r="S327" sId="1"/>
    <undo index="65535" exp="area" dr="D319:D326" r="D327"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CP1 less /2017</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08" sId="1" ref="A319:XFD319" action="deleteRow">
    <undo index="65535" exp="area" dr="AK319:AK325" r="AK326" sId="1"/>
    <undo index="65535" exp="area" dr="AJ319:AJ325" r="AJ326" sId="1"/>
    <undo index="65535" exp="area" dr="AI319:AI325" r="AI326" sId="1"/>
    <undo index="65535" exp="area" dr="AH319:AH325" r="AH326" sId="1"/>
    <undo index="65535" exp="area" dr="AG319:AG325" r="AG326" sId="1"/>
    <undo index="65535" exp="area" dr="AF319:AF325" r="AF326" sId="1"/>
    <undo index="65535" exp="area" dr="AE319:AE325" r="AE326" sId="1"/>
    <undo index="65535" exp="area" dr="AD319:AD325" r="AD326" sId="1"/>
    <undo index="65535" exp="area" dr="AC319:AC325" r="AC326" sId="1"/>
    <undo index="65535" exp="area" dr="AB319:AB325" r="AB326" sId="1"/>
    <undo index="65535" exp="area" dr="AA319:AA325" r="AA326" sId="1"/>
    <undo index="65535" exp="area" dr="Z319:Z325" r="Z326" sId="1"/>
    <undo index="65535" exp="area" dr="Y319:Y325" r="Y326" sId="1"/>
    <undo index="65535" exp="area" dr="X319:X325" r="X326" sId="1"/>
    <undo index="65535" exp="area" dr="W319:W325" r="W326" sId="1"/>
    <undo index="65535" exp="area" dr="V319:V325" r="V326" sId="1"/>
    <undo index="65535" exp="area" dr="U319:U325" r="U326" sId="1"/>
    <undo index="65535" exp="area" dr="T319:T325" r="T326" sId="1"/>
    <undo index="65535" exp="area" dr="S319:S325" r="S326" sId="1"/>
    <undo index="65535" exp="area" dr="D319:D325" r="D326"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CP1 more /2017</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09" sId="1" ref="A319:XFD319" action="deleteRow">
    <undo index="65535" exp="area" dr="AK319:AK324" r="AK325" sId="1"/>
    <undo index="65535" exp="area" dr="AJ319:AJ324" r="AJ325" sId="1"/>
    <undo index="65535" exp="area" dr="AI319:AI324" r="AI325" sId="1"/>
    <undo index="65535" exp="area" dr="AH319:AH324" r="AH325" sId="1"/>
    <undo index="65535" exp="area" dr="AG319:AG324" r="AG325" sId="1"/>
    <undo index="65535" exp="area" dr="AF319:AF324" r="AF325" sId="1"/>
    <undo index="65535" exp="area" dr="AE319:AE324" r="AE325" sId="1"/>
    <undo index="65535" exp="area" dr="AD319:AD324" r="AD325" sId="1"/>
    <undo index="65535" exp="area" dr="AC319:AC324" r="AC325" sId="1"/>
    <undo index="65535" exp="area" dr="AB319:AB324" r="AB325" sId="1"/>
    <undo index="65535" exp="area" dr="AA319:AA324" r="AA325" sId="1"/>
    <undo index="65535" exp="area" dr="Z319:Z324" r="Z325" sId="1"/>
    <undo index="65535" exp="area" dr="Y319:Y324" r="Y325" sId="1"/>
    <undo index="65535" exp="area" dr="X319:X324" r="X325" sId="1"/>
    <undo index="65535" exp="area" dr="W319:W324" r="W325" sId="1"/>
    <undo index="65535" exp="area" dr="V319:V324" r="V325" sId="1"/>
    <undo index="65535" exp="area" dr="U319:U324" r="U325" sId="1"/>
    <undo index="65535" exp="area" dr="T319:T324" r="T325" sId="1"/>
    <undo index="65535" exp="area" dr="S319:S324" r="S325" sId="1"/>
    <undo index="65535" exp="area" dr="D319:D324" r="D325"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D319" start="0" length="0">
      <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dxf>
    </rfmt>
    <rfmt sheetId="1" sqref="E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F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1" sqref="S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T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U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V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W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X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Y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Z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A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B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C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D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E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F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G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J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K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rc>
  <rrc rId="6210" sId="1" ref="A319:XFD319" action="deleteRow">
    <undo index="65535" exp="area" dr="AK319:AK323" r="AK324" sId="1"/>
    <undo index="65535" exp="area" dr="AJ319:AJ323" r="AJ324" sId="1"/>
    <undo index="65535" exp="area" dr="AI319:AI323" r="AI324" sId="1"/>
    <undo index="65535" exp="area" dr="AH319:AH323" r="AH324" sId="1"/>
    <undo index="65535" exp="area" dr="AG319:AG323" r="AG324" sId="1"/>
    <undo index="65535" exp="area" dr="AF319:AF323" r="AF324" sId="1"/>
    <undo index="65535" exp="area" dr="AE319:AE323" r="AE324" sId="1"/>
    <undo index="65535" exp="area" dr="AD319:AD323" r="AD324" sId="1"/>
    <undo index="65535" exp="area" dr="AC319:AC323" r="AC324" sId="1"/>
    <undo index="65535" exp="area" dr="AB319:AB323" r="AB324" sId="1"/>
    <undo index="65535" exp="area" dr="AA319:AA323" r="AA324" sId="1"/>
    <undo index="65535" exp="area" dr="Z319:Z323" r="Z324" sId="1"/>
    <undo index="65535" exp="area" dr="Y319:Y323" r="Y324" sId="1"/>
    <undo index="65535" exp="area" dr="X319:X323" r="X324" sId="1"/>
    <undo index="65535" exp="area" dr="W319:W323" r="W324" sId="1"/>
    <undo index="65535" exp="area" dr="V319:V323" r="V324" sId="1"/>
    <undo index="65535" exp="area" dr="U319:U323" r="U324" sId="1"/>
    <undo index="65535" exp="area" dr="T319:T323" r="T324" sId="1"/>
    <undo index="65535" exp="area" dr="S319:S323" r="S324" sId="1"/>
    <undo index="65535" exp="area" dr="D319:D323" r="D324"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CP10 less /2018</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11" sId="1" ref="A319:XFD319" action="deleteRow">
    <undo index="65535" exp="area" dr="AK319:AK322" r="AK323" sId="1"/>
    <undo index="65535" exp="area" dr="AJ319:AJ322" r="AJ323" sId="1"/>
    <undo index="65535" exp="area" dr="AI319:AI322" r="AI323" sId="1"/>
    <undo index="65535" exp="area" dr="AH319:AH322" r="AH323" sId="1"/>
    <undo index="65535" exp="area" dr="AG319:AG322" r="AG323" sId="1"/>
    <undo index="65535" exp="area" dr="AF319:AF322" r="AF323" sId="1"/>
    <undo index="65535" exp="area" dr="AE319:AE322" r="AE323" sId="1"/>
    <undo index="65535" exp="area" dr="AD319:AD322" r="AD323" sId="1"/>
    <undo index="65535" exp="area" dr="AC319:AC322" r="AC323" sId="1"/>
    <undo index="65535" exp="area" dr="AB319:AB322" r="AB323" sId="1"/>
    <undo index="65535" exp="area" dr="AA319:AA322" r="AA323" sId="1"/>
    <undo index="65535" exp="area" dr="Z319:Z322" r="Z323" sId="1"/>
    <undo index="65535" exp="area" dr="Y319:Y322" r="Y323" sId="1"/>
    <undo index="65535" exp="area" dr="X319:X322" r="X323" sId="1"/>
    <undo index="65535" exp="area" dr="W319:W322" r="W323" sId="1"/>
    <undo index="65535" exp="area" dr="V319:V322" r="V323" sId="1"/>
    <undo index="65535" exp="area" dr="U319:U322" r="U323" sId="1"/>
    <undo index="65535" exp="area" dr="T319:T322" r="T323" sId="1"/>
    <undo index="65535" exp="area" dr="S319:S322" r="S323" sId="1"/>
    <undo index="65535" exp="area" dr="D319:D322" r="D323"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CP10 more/2018</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12" sId="1" ref="A319:XFD319" action="deleteRow">
    <undo index="65535" exp="area" dr="AK319:AK321" r="AK322" sId="1"/>
    <undo index="65535" exp="area" dr="AJ319:AJ321" r="AJ322" sId="1"/>
    <undo index="65535" exp="area" dr="AI319:AI321" r="AI322" sId="1"/>
    <undo index="65535" exp="area" dr="AH319:AH321" r="AH322" sId="1"/>
    <undo index="65535" exp="area" dr="AG319:AG321" r="AG322" sId="1"/>
    <undo index="65535" exp="area" dr="AF319:AF321" r="AF322" sId="1"/>
    <undo index="65535" exp="area" dr="AE319:AE321" r="AE322" sId="1"/>
    <undo index="65535" exp="area" dr="AD319:AD321" r="AD322" sId="1"/>
    <undo index="65535" exp="area" dr="AC319:AC321" r="AC322" sId="1"/>
    <undo index="65535" exp="area" dr="AB319:AB321" r="AB322" sId="1"/>
    <undo index="65535" exp="area" dr="AA319:AA321" r="AA322" sId="1"/>
    <undo index="65535" exp="area" dr="Z319:Z321" r="Z322" sId="1"/>
    <undo index="65535" exp="area" dr="Y319:Y321" r="Y322" sId="1"/>
    <undo index="65535" exp="area" dr="X319:X321" r="X322" sId="1"/>
    <undo index="65535" exp="area" dr="W319:W321" r="W322" sId="1"/>
    <undo index="65535" exp="area" dr="V319:V321" r="V322" sId="1"/>
    <undo index="65535" exp="area" dr="U319:U321" r="U322" sId="1"/>
    <undo index="65535" exp="area" dr="T319:T321" r="T322" sId="1"/>
    <undo index="65535" exp="area" dr="S319:S321" r="S322" sId="1"/>
    <undo index="65535" exp="area" dr="D319:D321" r="D322"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CP 5/2017 (MySMIS: POCA/130/2/2)</t>
        </is>
      </nc>
      <ndxf>
        <font>
          <sz val="12"/>
        </font>
        <alignment vertical="center" wrapText="1"/>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13" sId="1" ref="A319:XFD319" action="deleteRow">
    <undo index="65535" exp="area" dr="AK319:AK320" r="AK321" sId="1"/>
    <undo index="65535" exp="area" dr="AJ319:AJ320" r="AJ321" sId="1"/>
    <undo index="65535" exp="area" dr="AI319:AI320" r="AI321" sId="1"/>
    <undo index="65535" exp="area" dr="AH319:AH320" r="AH321" sId="1"/>
    <undo index="65535" exp="area" dr="AG319:AG320" r="AG321" sId="1"/>
    <undo index="65535" exp="area" dr="AF319:AF320" r="AF321" sId="1"/>
    <undo index="65535" exp="area" dr="AE319:AE320" r="AE321" sId="1"/>
    <undo index="65535" exp="area" dr="AD319:AD320" r="AD321" sId="1"/>
    <undo index="65535" exp="area" dr="AC319:AC320" r="AC321" sId="1"/>
    <undo index="65535" exp="area" dr="AB319:AB320" r="AB321" sId="1"/>
    <undo index="65535" exp="area" dr="AA319:AA320" r="AA321" sId="1"/>
    <undo index="65535" exp="area" dr="Z319:Z320" r="Z321" sId="1"/>
    <undo index="65535" exp="area" dr="Y319:Y320" r="Y321" sId="1"/>
    <undo index="65535" exp="area" dr="X319:X320" r="X321" sId="1"/>
    <undo index="65535" exp="area" dr="W319:W320" r="W321" sId="1"/>
    <undo index="65535" exp="area" dr="V319:V320" r="V321" sId="1"/>
    <undo index="65535" exp="area" dr="U319:U320" r="U321" sId="1"/>
    <undo index="65535" exp="area" dr="T319:T320" r="T321" sId="1"/>
    <undo index="65535" exp="area" dr="S319:S320" r="S321" sId="1"/>
    <undo index="65535" exp="area" dr="D319:D320" r="D321"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CP3/2017 (MySMIS: POCA/113/2/3)</t>
        </is>
      </nc>
      <ndxf>
        <font>
          <sz val="12"/>
        </font>
        <alignment vertical="center" wrapText="1"/>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14" sId="1" ref="A319:XFD319" action="deleteRow">
    <undo index="65535" exp="area" dr="AK319" r="AK320" sId="1"/>
    <undo index="65535" exp="area" dr="AJ319" r="AJ320" sId="1"/>
    <undo index="65535" exp="area" dr="AI319" r="AI320" sId="1"/>
    <undo index="65535" exp="area" dr="AH319" r="AH320" sId="1"/>
    <undo index="65535" exp="area" dr="AG319" r="AG320" sId="1"/>
    <undo index="65535" exp="area" dr="AF319" r="AF320" sId="1"/>
    <undo index="65535" exp="area" dr="AE319" r="AE320" sId="1"/>
    <undo index="65535" exp="area" dr="AD319" r="AD320" sId="1"/>
    <undo index="65535" exp="area" dr="AC319" r="AC320" sId="1"/>
    <undo index="65535" exp="area" dr="AB319" r="AB320" sId="1"/>
    <undo index="65535" exp="area" dr="AA319" r="AA320" sId="1"/>
    <undo index="65535" exp="area" dr="Z319" r="Z320" sId="1"/>
    <undo index="65535" exp="area" dr="Y319" r="Y320" sId="1"/>
    <undo index="65535" exp="area" dr="X319" r="X320" sId="1"/>
    <undo index="65535" exp="area" dr="W319" r="W320" sId="1"/>
    <undo index="65535" exp="area" dr="V319" r="V320" sId="1"/>
    <undo index="65535" exp="area" dr="U319" r="U320" sId="1"/>
    <undo index="65535" exp="area" dr="T319" r="T320" sId="1"/>
    <undo index="65535" exp="area" dr="S319" r="S320" sId="1"/>
    <undo index="65535" exp="area" dr="D319" r="D320"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19">
        <f>COUNTIFS(F$7:F$318,$F319)</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19" t="inlineStr">
        <is>
          <t xml:space="preserve">TOTAL </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IP9/2017 (MySMIS:
POCA/131/2/3)</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SUMIFS(Y$7:Y$318,$F$7:$F$318,$F319)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SUMIFS(Z$7:Z$318,$F$7:$F$318,$F319)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SUMIFS(AA$7:AA$318,$F$7:$F$318,$F319)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15" sId="1" ref="A319:XFD319" action="deleteRow">
    <undo index="65535" exp="ref" v="1" dr="AK319" r="AK321" sId="1"/>
    <undo index="65535" exp="ref" v="1" dr="AJ319" r="AJ321" sId="1"/>
    <undo index="65535" exp="ref" v="1" dr="AI319" r="AI321" sId="1"/>
    <undo index="65535" exp="ref" v="1" dr="AH319" r="AH321" sId="1"/>
    <undo index="65535" exp="ref" v="1" dr="AG319" r="AG321" sId="1"/>
    <undo index="65535" exp="ref" v="1" dr="AF319" r="AF321" sId="1"/>
    <undo index="65535" exp="ref" v="1" dr="AE319" r="AE321" sId="1"/>
    <undo index="65535" exp="ref" v="1" dr="AD319" r="AD321" sId="1"/>
    <undo index="65535" exp="ref" v="1" dr="AC319" r="AC321" sId="1"/>
    <undo index="65535" exp="ref" v="1" dr="AB319" r="AB321" sId="1"/>
    <undo index="65535" exp="ref" v="1" dr="AA319" r="AA321" sId="1"/>
    <undo index="65535" exp="ref" v="1" dr="Z319" r="Z321" sId="1"/>
    <undo index="65535" exp="ref" v="1" dr="Y319" r="Y321" sId="1"/>
    <undo index="65535" exp="ref" v="1" dr="X319" r="X321" sId="1"/>
    <undo index="65535" exp="ref" v="1" dr="W319" r="W321" sId="1"/>
    <undo index="65535" exp="ref" v="1" dr="V319" r="V321" sId="1"/>
    <undo index="65535" exp="ref" v="1" dr="U319" r="U321" sId="1"/>
    <undo index="65535" exp="ref" v="1" dr="T319" r="T321" sId="1"/>
    <undo index="65535" exp="ref" v="1" dr="S319" r="S321" sId="1"/>
    <undo index="65535" exp="ref" v="1" dr="D319" r="D321"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numFmt numFmtId="3" formatCode="#,##0"/>
        <alignment horizontal="center" vertical="center" wrapText="1"/>
        <border outline="0">
          <left style="thin">
            <color indexed="64"/>
          </left>
          <right style="thin">
            <color indexed="64"/>
          </right>
          <top style="thin">
            <color indexed="64"/>
          </top>
          <bottom style="thin">
            <color indexed="64"/>
          </bottom>
        </border>
      </dxf>
    </rfmt>
    <rcc rId="0" sId="1" s="1" dxf="1">
      <nc r="D319">
        <f>SUM(#REF!)</f>
      </nc>
      <ndxf>
        <font>
          <sz val="12"/>
          <color auto="1"/>
          <name val="Calibri"/>
          <family val="2"/>
          <charset val="238"/>
          <scheme val="minor"/>
        </font>
        <numFmt numFmtId="167" formatCode="#,##0_ ;\-#,##0\ "/>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 AXA 2</t>
        </is>
      </nc>
      <ndxf>
        <font>
          <sz val="12"/>
          <color auto="1"/>
        </font>
        <alignment horizontal="center" vertical="center" wrapText="1"/>
        <border outline="0">
          <left style="thin">
            <color indexed="64"/>
          </left>
          <right style="thin">
            <color indexed="64"/>
          </right>
          <top style="thin">
            <color indexed="64"/>
          </top>
          <bottom style="thin">
            <color indexed="64"/>
          </bottom>
        </border>
      </ndxf>
    </rcc>
    <rfmt sheetId="1" sqref="F319" start="0" length="0">
      <dxf>
        <font>
          <sz val="12"/>
        </font>
        <alignment horizontal="left" vertical="center"/>
        <border outline="0">
          <left style="thin">
            <color indexed="64"/>
          </left>
          <right style="thin">
            <color indexed="64"/>
          </right>
          <top style="thin">
            <color indexed="64"/>
          </top>
          <bottom style="thin">
            <color indexed="64"/>
          </bottom>
        </border>
      </dxf>
    </rfmt>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H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I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J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16" sId="1" ref="A319:XFD319" action="deleteRow">
    <undo index="65535" exp="ref" v="1" dr="AK319" r="AK320" sId="1"/>
    <undo index="65535" exp="ref" v="1" dr="AJ319" r="AJ320" sId="1"/>
    <undo index="65535" exp="ref" v="1" dr="AI319" r="AI320" sId="1"/>
    <undo index="65535" exp="ref" v="1" dr="AH319" r="AH320" sId="1"/>
    <undo index="65535" exp="ref" v="1" dr="AG319" r="AG320" sId="1"/>
    <undo index="65535" exp="ref" v="1" dr="AF319" r="AF320" sId="1"/>
    <undo index="65535" exp="ref" v="1" dr="AE319" r="AE320" sId="1"/>
    <undo index="65535" exp="ref" v="1" dr="AD319" r="AD320" sId="1"/>
    <undo index="65535" exp="ref" v="1" dr="AC319" r="AC320" sId="1"/>
    <undo index="65535" exp="ref" v="1" dr="AB319" r="AB320" sId="1"/>
    <undo index="65535" exp="ref" v="1" dr="AA319" r="AA320" sId="1"/>
    <undo index="65535" exp="ref" v="1" dr="Z319" r="Z320" sId="1"/>
    <undo index="65535" exp="ref" v="1" dr="Y319" r="Y320" sId="1"/>
    <undo index="65535" exp="ref" v="1" dr="X319" r="X320" sId="1"/>
    <undo index="65535" exp="ref" v="1" dr="W319" r="W320" sId="1"/>
    <undo index="65535" exp="ref" v="1" dr="V319" r="V320" sId="1"/>
    <undo index="65535" exp="ref" v="1" dr="U319" r="U320" sId="1"/>
    <undo index="65535" exp="ref" v="1" dr="T319" r="T320" sId="1"/>
    <undo index="65535" exp="ref" v="1" dr="S319" r="S320" sId="1"/>
    <undo index="0" exp="ref" v="1" dr="D319" r="D320" sId="1"/>
    <undo index="65535" exp="area" ref3D="1" dr="$H$1:$N$1048576" dn="Z_65B035E3_87FA_46C5_996E_864F2C8D0EBC_.wvu.Cols"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ttom style="thin">
            <color indexed="64"/>
          </bottom>
        </border>
      </dxf>
    </rfmt>
    <rfmt sheetId="1" sqref="C319" start="0" length="0">
      <dxf>
        <font>
          <sz val="12"/>
          <color auto="1"/>
        </font>
        <numFmt numFmtId="3" formatCode="#,##0"/>
        <alignment horizontal="center" vertical="center" wrapText="1"/>
        <border outline="0">
          <left style="thin">
            <color indexed="64"/>
          </left>
          <right style="thin">
            <color indexed="64"/>
          </right>
          <top style="thin">
            <color indexed="64"/>
          </top>
          <bottom style="thin">
            <color indexed="64"/>
          </bottom>
        </border>
      </dxf>
    </rfmt>
    <rcc rId="0" sId="1" dxf="1">
      <nc r="D319">
        <f>COUNT(C182:C184)</f>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E319" t="inlineStr">
        <is>
          <t>TOTAL AXA 3</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19" t="inlineStr">
        <is>
          <t>AT 1/2016</t>
        </is>
      </nc>
      <ndxf>
        <font>
          <sz val="12"/>
        </font>
        <alignment horizontal="left" vertical="center"/>
        <border outline="0">
          <left style="thin">
            <color indexed="64"/>
          </left>
          <right style="thin">
            <color indexed="64"/>
          </right>
          <top style="thin">
            <color indexed="64"/>
          </top>
          <bottom style="thin">
            <color indexed="64"/>
          </bottom>
        </border>
      </ndxf>
    </rcc>
    <rfmt sheetId="1" sqref="G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1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19"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19"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19"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19"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1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19">
        <f>SUMIFS(S$7:S$318,$F$7:$F$318,$F319)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19">
        <f>SUMIFS(T$7:T$318,$F$7:$F$318,$F319)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19">
        <f>SUMIFS(U$7:U$318,$F$7:$F$318,$F319)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19">
        <f>SUMIFS(V$7:V$318,$F$7:$F$318,$F319)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19">
        <f>SUMIFS(W$7:W$318,$F$7:$F$318,$F319)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19">
        <f>SUMIFS(X$7:X$318,$F$7:$F$318,$F319)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19">
        <f>SUMIFS(Y$136:Y$318,$F$136:$F$318,$F319)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19">
        <f>SUMIFS(Z$136:Z$318,$F$136:$F$318,$F319)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19">
        <f>SUMIFS(AA$136:AA$318,$F$136:$F$318,$F319)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19">
        <f>SUMIFS(AB$7:AB$318,$F$7:$F$318,$F319)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19">
        <f>SUMIFS(AC$7:AC$318,$F$7:$F$318,$F319)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19">
        <f>SUMIFS(AD$7:AD$318,$F$7:$F$318,$F319)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19">
        <f>SUMIFS(AE$7:AE$318,$F$7:$F$318,$F319)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19">
        <f>SUMIFS(AF$7:AF$318,$F$7:$F$318,$F319)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19">
        <f>SUMIFS(AG$7:AG$318,$F$7:$F$318,$F319)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19"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19">
        <f>SUMIFS(AJ$7:AJ$318,$F$7:$F$318,$F319)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19">
        <f>SUMIFS(AK$7:AK$318,$F$7:$F$318,$F319)</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6217" sId="1" ref="A319:XFD319" action="deleteRow">
    <undo index="65535" exp="area" ref3D="1" dr="$A$1:$AK$319" dn="Z_7C1B4D6D_D666_48DD_AB17_E00791B6F0B6_.wvu.PrintArea" sId="1"/>
    <undo index="65535" exp="area" ref3D="1" dr="$A$1:$AK$319" dn="Z_747340EB_2B31_46D2_ACDE_4FA91E2B50F6_.wvu.PrintArea" sId="1"/>
    <undo index="65535" exp="area" ref3D="1" dr="$A$6:$AK$319" dn="Z_6CE52079_5576_45A5_9A9F_9CA970D849EF_.wvu.FilterData" sId="1"/>
    <undo index="65535" exp="area" ref3D="1" dr="$A$1:$AK$319" dn="Z_65B035E3_87FA_46C5_996E_864F2C8D0EBC_.wvu.PrintArea" sId="1"/>
    <undo index="65535" exp="area" ref3D="1" dr="$A$1:$AK$319" dn="Z_5AAA4DFE_88B1_4674_95ED_5FCD7A50BC22_.wvu.PrintArea" sId="1"/>
    <undo index="65535" exp="area" ref3D="1" dr="$A$6:$AK$319" dn="Z_53ED3D47_B2C0_43A1_9A1E_F030D529F74C_.wvu.FilterData" sId="1"/>
    <undo index="65535" exp="area" ref3D="1" dr="$A$6:$AK$319" dn="Z_41AA4E5D_9625_4478_B720_2BD6AE34E699_.wvu.FilterData" sId="1"/>
    <undo index="65535" exp="area" ref3D="1" dr="$A$6:$AK$319" dn="Z_2547C3D7_22F7_4CAF_8E48_C8F3425DB942_.wvu.FilterData" sId="1"/>
    <undo index="65535" exp="area" ref3D="1" dr="$A$6:$AK$319" dn="Z_0585DD1B_89D4_4278_953B_FA6D57DCCE82_.wvu.FilterData" sId="1"/>
    <undo index="65535" exp="area" ref3D="1" dr="$A$1:$AK$319" dn="Z_0781B6C2_B440_4971_9809_BD16245A70FD_.wvu.PrintArea" sId="1"/>
    <undo index="65535" exp="area" ref3D="1" dr="$A$1:$AK$319" dn="Z_36624B2D_80F9_4F79_AC4A_B3547C36F23F_.wvu.PrintArea" sId="1"/>
    <undo index="65535" exp="area" ref3D="1" dr="$A$6:$AK$319" dn="Z_17F4A6A1_469E_46FB_A3A0_041FC3712E3B_.wvu.FilterData" sId="1"/>
    <undo index="65535" exp="area" ref3D="1" dr="$H$1:$N$1048576" dn="Z_65B035E3_87FA_46C5_996E_864F2C8D0EBC_.wvu.Cols" sId="1"/>
    <undo index="65535" exp="area" ref3D="1" dr="$A$6:$AK$319" dn="Z_2A26C971_CCE6_49C7_89EC_0B2699E5DD98_.wvu.FilterData" sId="1"/>
    <undo index="65535" exp="area" ref3D="1" dr="$A$6:$AK$319" dn="Z_324E461A_DC75_4814_87BA_41F170D0ED0B_.wvu.FilterData" sId="1"/>
    <undo index="65535" exp="area" ref3D="1" dr="$A$1:$AK$319" dn="Z_3AFE79CE_CE75_447D_8C73_1AE63A224CBA_.wvu.PrintArea" sId="1"/>
    <undo index="65535" exp="area" ref3D="1" dr="$A$6:$AK$319" dn="Z_34BB42D3_88F0_437E_91ED_3E3C369B9525_.wvu.FilterData" sId="1"/>
    <undo index="65535" exp="area" ref3D="1" dr="$A$6:$AK$319" dn="Z_305BEEB9_C99E_4E52_A4AB_56EA1595A366_.wvu.FilterData" sId="1"/>
    <undo index="65535" exp="area" ref3D="1" dr="$A$1:$AK$319" dn="Print_Area" sId="1"/>
    <undo index="65535" exp="area" ref3D="1" dr="$A$6:$AK$319" dn="Z_0A043D96_6DF8_4E40_9D1E_818A39BAFD81_.wvu.FilterData" sId="1"/>
    <undo index="65535" exp="area" ref3D="1" dr="$A$6:$AK$319" dn="Z_3AFE79CE_CE75_447D_8C73_1AE63A224CBA_.wvu.FilterData" sId="1"/>
    <undo index="65535" exp="area" ref3D="1" dr="$A$1:$AK$319" dn="Z_65C35D6D_934F_4431_BA92_90255FC17BA4_.wvu.PrintArea" sId="1"/>
    <undo index="65535" exp="area" ref3D="1" dr="$A$1:$AK$319" dn="Z_53ED3D47_B2C0_43A1_9A1E_F030D529F74C_.wvu.PrintArea" sId="1"/>
    <undo index="65535" exp="area" ref3D="1" dr="$A$6:$AK$319" dn="Z_4FDB167B_D56E_45D4_B120_847D0871AA6B_.wvu.FilterData" sId="1"/>
    <undo index="65535" exp="area" ref3D="1" dr="$A$1:$AK$319" dn="Z_2C296388_EDB5_4F1F_B0F4_90EC07CCD947_.wvu.PrintArea" sId="1"/>
    <undo index="65535" exp="area" ref3D="1" dr="$A$1:$AK$319" dn="Z_00A99CA1_F635_44AE_9E4D_C2CEC4CEF175_.wvu.PrintArea" sId="1"/>
    <undo index="65535" exp="area" ref3D="1" dr="$A$6:$AK$319" dn="Z_2355B1FA_E7E3_44CD_A529_24812589AA28_.wvu.FilterData" sId="1"/>
    <undo index="65535" exp="area" ref3D="1" dr="$A$6:$AK$319" dn="Z_3E7AD119_0031_4735_857B_FBC0C47AB231_.wvu.FilterData" sId="1"/>
    <undo index="65535" exp="area" ref3D="1" dr="$A$6:$AK$319" dn="Z_38C68E87_361F_434A_8BE4_BA2AF4CB3868_.wvu.FilterData" sId="1"/>
    <undo index="65535" exp="area" ref3D="1" dr="$A$6:$AK$319" dn="Z_923E7374_9C36_4380_9E0A_313EA2F408F0_.wvu.FilterData" sId="1"/>
    <undo index="65535" exp="area" ref3D="1" dr="$A$6:$AK$319" dn="Z_91199DA1_59E7_4345_8CB7_A1085C901326_.wvu.FilterData" sId="1"/>
    <undo index="65535" exp="area" ref3D="1" dr="$A$1:$AK$319" dn="Z_905D93EA_5662_45AB_8995_A9908B3E5D52_.wvu.PrintArea" sId="1"/>
    <undo index="65535" exp="area" ref3D="1" dr="$A$1:$AK$319" dn="Z_901F9774_8BE7_424D_87C2_1026F3FA2E93_.wvu.PrintArea" sId="1"/>
    <undo index="65535" exp="area" ref3D="1" dr="$A$6:$AK$319" dn="Z_84FB199A_D56E_4FDD_AC4A_70CE86CD87BC_.wvu.FilterData" sId="1"/>
    <undo index="65535" exp="area" ref3D="1" dr="$A$6:$AK$319" dn="Z_89F20599_320E_4C2A_9159_8E9F2F24F61C_.wvu.FilterData" sId="1"/>
    <undo index="65535" exp="area" ref3D="1" dr="$A$1:$AK$319" dn="Z_9EA5E3FA_46F1_4729_828C_4A08518018C1_.wvu.PrintArea" sId="1"/>
    <undo index="65535" exp="area" ref3D="1" dr="$A$6:$AK$319" dn="Z_831F7439_6937_483F_B601_184FEF5CECFD_.wvu.FilterData" sId="1"/>
    <undo index="65535" exp="area" ref3D="1" dr="$A$6:$AK$319" dn="Z_902D3CAF_0577_4A3F_A86A_C01FD8CA4695_.wvu.FilterData" sId="1"/>
    <undo index="65535" exp="area" ref3D="1" dr="$A$6:$AK$319" dn="Z_9F268523_731B_48FE_86AA_1A6382332A83_.wvu.FilterData" sId="1"/>
    <undo index="65535" exp="area" ref3D="1" dr="$A$1:$AK$319" dn="Z_9980B309_0131_4577_BF29_212714399FDF_.wvu.PrintArea" sId="1"/>
    <undo index="65535" exp="area" ref3D="1" dr="$A$6:$AK$319" dn="Z_97F6C5A1_2596_4037_A854_1D6AE8A1071E_.wvu.FilterData" sId="1"/>
    <undo index="65535" exp="area" ref3D="1" dr="$A$6:$AK$319" dn="Z_7D2F4374_D571_49E4_B659_129D2AFDC43C_.wvu.FilterData" sId="1"/>
    <undo index="65535" exp="area" ref3D="1" dr="$A$1:$AK$319" dn="Z_84FB199A_D56E_4FDD_AC4A_70CE86CD87BC_.wvu.PrintArea" sId="1"/>
    <undo index="65535" exp="area" ref3D="1" dr="$A$1:$AK$319" dn="Z_A5B1481C_EF26_486A_984F_85CDDC2FD94F_.wvu.PrintArea" sId="1"/>
    <undo index="65535" exp="area" ref3D="1" dr="$A$6:$AK$319" dn="Z_AE58BCBC_9F06_4E6C_A28B_2F5626DD7C1B_.wvu.FilterData" sId="1"/>
    <undo index="65535" exp="area" ref3D="1" dr="$A$1:$AK$319" dn="Z_A87F3E0E_3A8E_4B82_8170_33752259B7DB_.wvu.PrintArea" sId="1"/>
    <undo index="65535" exp="area" ref3D="1" dr="$A$6:$AK$319" dn="Z_A87F3E0E_3A8E_4B82_8170_33752259B7DB_.wvu.FilterData" sId="1"/>
    <undo index="65535" exp="area" ref3D="1" dr="$A$6:$AK$319" dn="Z_AECBC9F6_D9DE_4043_9C2F_160F7ECDAD3D_.wvu.FilterData" sId="1"/>
    <undo index="65535" exp="area" ref3D="1" dr="$A$6:$AK$319" dn="Z_C4E44235_F714_4BCE_B2B0_F4813D3BDF91_.wvu.FilterData" sId="1"/>
    <undo index="65535" exp="area" ref3D="1" dr="$A$1:$AK$319" dn="Z_FE50EAC0_52A5_4C33_B973_65E93D03D3EA_.wvu.PrintArea" sId="1"/>
    <undo index="65535" exp="area" ref3D="1" dr="$A$6:$AK$319" dn="Z_F52D90D4_508D_43B6_8295_6D179E5F0FEB_.wvu.FilterData" sId="1"/>
    <undo index="65535" exp="area" ref3D="1" dr="$A$6:$AK$319" dn="Z_DE09B69C_7EEF_4060_8E06_F7DEC4B96D7E_.wvu.FilterData" sId="1"/>
    <undo index="65535" exp="area" ref3D="1" dr="$A$6:$AK$319" dn="Z_D802EE0F_98B9_4410_B31B_4ACC0EC9C9BC_.wvu.FilterData" sId="1"/>
    <undo index="65535" exp="area" ref3D="1" dr="$A$1:$AK$319" dn="Z_DB51BB9F_5710_40B0_80E7_39B059BFD11D_.wvu.PrintArea" sId="1"/>
    <undo index="65535" exp="area" ref3D="1" dr="$A$1:$AK$319" dn="Z_C3502361_AD2C_4705_878B_D12169ED60B1_.wvu.PrintArea" sId="1"/>
    <undo index="65535" exp="area" ref3D="1" dr="$A$1:$AK$319" dn="Z_C408A2F1_296F_4EAD_B15B_336D73846FDD_.wvu.PrintArea" sId="1"/>
    <undo index="65535" exp="area" ref3D="1" dr="$A$6:$AK$319" dn="Z_EFE45138_A2B3_46EB_8A69_D9745D73FBF5_.wvu.FilterData" sId="1"/>
    <undo index="65535" exp="area" ref3D="1" dr="$A$6:$AK$319" dn="Z_DB43929D_F4B7_43FF_975F_960476D189E8_.wvu.FilterData" sId="1"/>
    <undo index="65535" exp="area" ref3D="1" dr="$A$1:$AK$319" dn="Z_EA64E7D7_BA48_4965_B650_778AE412FE0C_.wvu.PrintArea" sId="1"/>
    <undo index="65535" exp="area" ref3D="1" dr="$A$6:$AK$319" dn="Z_CAB79FAE_AA32_4D62_A794_A6DB6513D801_.wvu.FilterData" sId="1"/>
    <undo index="65535" exp="area" ref3D="1" dr="$A$6:$AK$319" dn="Z_C3502361_AD2C_4705_878B_D12169ED60B1_.wvu.FilterData" sId="1"/>
    <undo index="65535" exp="area" ref3D="1" dr="$A$6:$AK$319" dn="Z_EF10298D_3F59_43F1_9A86_8C1CCA3B5D93_.wvu.FilterData" sId="1"/>
    <undo index="65535" exp="area" ref3D="1" dr="$A$1:$AK$319" dn="Z_EEA37434_2D22_478B_B49F_C3E8CD4AC2E1_.wvu.PrintArea" sId="1"/>
    <undo index="65535" exp="area" ref3D="1" dr="$A$6:$AK$319" dn="Z_DD93CA86_AFD6_4C47_828D_70472BFCD288_.wvu.FilterData" sId="1"/>
    <undo index="65535" exp="area" ref3D="1" dr="$A$1:$AK$319" dn="Z_EB0F2E6A_FA33_479E_9A47_8E3494FBB4DE_.wvu.PrintArea" sId="1"/>
    <undo index="65535" exp="area" ref3D="1" dr="$A$6:$AK$319" dn="Z_D365E121_F95E_415A_8CA0_9EA7ECCC60F5_.wvu.FilterData" sId="1"/>
    <undo index="65535" exp="area" ref3D="1" dr="$A$6:$AK$319" dn="Z_F952A18B_3430_4F65_89F2_B7C17998F981_.wvu.FilterData" sId="1"/>
    <undo index="65535" exp="area" ref3D="1" dr="$A$1:$AK$319" dn="Z_EF10298D_3F59_43F1_9A86_8C1CCA3B5D93_.wvu.PrintArea" sId="1"/>
    <undo index="65535" exp="area" ref3D="1" dr="$A$6:$AK$319" dn="Z_EB0F2E6A_FA33_479E_9A47_8E3494FBB4DE_.wvu.FilterData" sId="1"/>
    <undo index="65535" exp="area" ref3D="1" dr="$A$6:$AK$319" dn="Z_C71F80D5_B6C1_4ED9_B18D_D719D69F5A47_.wvu.FilterData" sId="1"/>
    <undo index="65535" exp="area" ref3D="1" dr="$A$1:$AK$319" dn="Z_FCCA78F5_8D30_45DE_9D44_7E25322461D6_.wvu.PrintArea" sId="1"/>
    <rfmt sheetId="1" xfDxf="1" sqref="A319:XFD319" start="0" length="0">
      <dxf>
        <font>
          <b/>
        </font>
      </dxf>
    </rfmt>
    <rfmt sheetId="1" sqref="A319"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19" start="0" length="0">
      <dxf>
        <font>
          <sz val="12"/>
          <color auto="1"/>
        </font>
        <alignment horizontal="center" vertical="center" wrapText="1"/>
        <border outline="0">
          <right style="thin">
            <color indexed="64"/>
          </right>
          <top style="thin">
            <color indexed="64"/>
          </top>
        </border>
      </dxf>
    </rfmt>
    <rfmt sheetId="1" sqref="C319" start="0" length="0">
      <dxf>
        <font>
          <sz val="12"/>
        </font>
        <border outline="0">
          <left style="thin">
            <color indexed="64"/>
          </left>
          <right style="thin">
            <color indexed="64"/>
          </right>
          <top style="thin">
            <color indexed="64"/>
          </top>
          <bottom style="medium">
            <color indexed="64"/>
          </bottom>
        </border>
      </dxf>
    </rfmt>
    <rcc rId="0" sId="1" dxf="1">
      <nc r="D319">
        <f>#REF!+#REF!+#REF!</f>
      </nc>
      <ndxf>
        <font>
          <sz val="12"/>
        </font>
        <numFmt numFmtId="1" formatCode="0"/>
        <alignment horizontal="center" vertical="center"/>
        <border outline="0">
          <left style="thin">
            <color indexed="64"/>
          </left>
          <right style="thin">
            <color indexed="64"/>
          </right>
          <top style="thin">
            <color indexed="64"/>
          </top>
          <bottom style="medium">
            <color indexed="64"/>
          </bottom>
        </border>
      </ndxf>
    </rcc>
    <rcc rId="0" sId="1" dxf="1">
      <nc r="E319" t="inlineStr">
        <is>
          <t>TOTAL</t>
        </is>
      </nc>
      <ndxf>
        <font>
          <sz val="12"/>
        </font>
        <alignment horizontal="center" vertical="center"/>
        <border outline="0">
          <left style="thin">
            <color indexed="64"/>
          </left>
          <right style="thin">
            <color indexed="64"/>
          </right>
          <top style="thin">
            <color indexed="64"/>
          </top>
          <bottom style="medium">
            <color indexed="64"/>
          </bottom>
        </border>
      </ndxf>
    </rcc>
    <rfmt sheetId="1" sqref="F319" start="0" length="0">
      <dxf>
        <font>
          <sz val="12"/>
        </font>
        <alignment horizontal="left" vertical="center"/>
        <border outline="0">
          <left style="thin">
            <color indexed="64"/>
          </left>
          <right style="thin">
            <color indexed="64"/>
          </right>
          <top style="thin">
            <color indexed="64"/>
          </top>
          <bottom style="medium">
            <color indexed="64"/>
          </bottom>
        </border>
      </dxf>
    </rfmt>
    <rfmt sheetId="1" sqref="G319" start="0" length="0">
      <dxf>
        <font>
          <sz val="12"/>
        </font>
        <alignment horizontal="left" vertical="top"/>
        <border outline="0">
          <left style="thin">
            <color indexed="64"/>
          </left>
          <right style="thin">
            <color indexed="64"/>
          </right>
          <top style="thin">
            <color indexed="64"/>
          </top>
          <bottom style="medium">
            <color indexed="64"/>
          </bottom>
        </border>
      </dxf>
    </rfmt>
    <rfmt sheetId="1" sqref="H319" start="0" length="0">
      <dxf>
        <font>
          <sz val="12"/>
        </font>
        <alignment horizontal="left" vertical="top"/>
        <border outline="0">
          <left style="thin">
            <color indexed="64"/>
          </left>
          <right style="thin">
            <color indexed="64"/>
          </right>
          <top style="thin">
            <color indexed="64"/>
          </top>
        </border>
      </dxf>
    </rfmt>
    <rfmt sheetId="1" sqref="I319" start="0" length="0">
      <dxf>
        <font>
          <sz val="12"/>
        </font>
        <alignment horizontal="center" vertical="top"/>
        <border outline="0">
          <left style="thin">
            <color indexed="64"/>
          </left>
          <right style="thin">
            <color indexed="64"/>
          </right>
          <top style="thin">
            <color indexed="64"/>
          </top>
        </border>
      </dxf>
    </rfmt>
    <rfmt sheetId="1" sqref="J319" start="0" length="0">
      <dxf>
        <font>
          <sz val="12"/>
        </font>
        <border outline="0">
          <left style="thin">
            <color indexed="64"/>
          </left>
          <right style="thin">
            <color indexed="64"/>
          </right>
          <top style="thin">
            <color indexed="64"/>
          </top>
          <bottom style="medium">
            <color indexed="64"/>
          </bottom>
        </border>
      </dxf>
    </rfmt>
    <rfmt sheetId="1" sqref="K319" start="0" length="0">
      <dxf>
        <font>
          <sz val="12"/>
        </font>
        <border outline="0">
          <left style="thin">
            <color indexed="64"/>
          </left>
          <right style="thin">
            <color indexed="64"/>
          </right>
          <top style="thin">
            <color indexed="64"/>
          </top>
          <bottom style="medium">
            <color indexed="64"/>
          </bottom>
        </border>
      </dxf>
    </rfmt>
    <rfmt sheetId="1" sqref="L319" start="0" length="0">
      <dxf>
        <font>
          <sz val="12"/>
        </font>
        <alignment horizontal="center" vertical="top"/>
        <border outline="0">
          <left style="thin">
            <color indexed="64"/>
          </left>
          <right style="thin">
            <color indexed="64"/>
          </right>
          <top style="thin">
            <color indexed="64"/>
          </top>
          <bottom style="medium">
            <color indexed="64"/>
          </bottom>
        </border>
      </dxf>
    </rfmt>
    <rfmt sheetId="1" sqref="M319" start="0" length="0">
      <dxf>
        <font>
          <sz val="12"/>
        </font>
        <alignment horizontal="center" vertical="top"/>
        <border outline="0">
          <left style="thin">
            <color indexed="64"/>
          </left>
          <right style="thin">
            <color indexed="64"/>
          </right>
          <top style="thin">
            <color indexed="64"/>
          </top>
          <bottom style="medium">
            <color indexed="64"/>
          </bottom>
        </border>
      </dxf>
    </rfmt>
    <rfmt sheetId="1" sqref="N319" start="0" length="0">
      <dxf>
        <font>
          <sz val="12"/>
        </font>
        <alignment horizontal="center" vertical="top"/>
        <border outline="0">
          <left style="thin">
            <color indexed="64"/>
          </left>
          <right style="thin">
            <color indexed="64"/>
          </right>
          <top style="thin">
            <color indexed="64"/>
          </top>
          <bottom style="medium">
            <color indexed="64"/>
          </bottom>
        </border>
      </dxf>
    </rfmt>
    <rfmt sheetId="1" sqref="O319" start="0" length="0">
      <dxf>
        <font>
          <sz val="12"/>
        </font>
        <alignment horizontal="center" vertical="top"/>
        <border outline="0">
          <left style="thin">
            <color indexed="64"/>
          </left>
          <right style="thin">
            <color indexed="64"/>
          </right>
          <top style="thin">
            <color indexed="64"/>
          </top>
          <bottom style="medium">
            <color indexed="64"/>
          </bottom>
        </border>
      </dxf>
    </rfmt>
    <rfmt sheetId="1" sqref="P319" start="0" length="0">
      <dxf>
        <font>
          <sz val="12"/>
        </font>
        <alignment horizontal="center" vertical="top"/>
        <border outline="0">
          <left style="thin">
            <color indexed="64"/>
          </left>
          <right style="thin">
            <color indexed="64"/>
          </right>
          <top style="thin">
            <color indexed="64"/>
          </top>
          <bottom style="medium">
            <color indexed="64"/>
          </bottom>
        </border>
      </dxf>
    </rfmt>
    <rfmt sheetId="1" sqref="Q319" start="0" length="0">
      <dxf>
        <font>
          <sz val="12"/>
        </font>
        <alignment horizontal="center" vertical="top"/>
        <border outline="0">
          <left style="thin">
            <color indexed="64"/>
          </left>
          <right style="thin">
            <color indexed="64"/>
          </right>
          <top style="thin">
            <color indexed="64"/>
          </top>
          <bottom style="medium">
            <color indexed="64"/>
          </bottom>
        </border>
      </dxf>
    </rfmt>
    <rfmt sheetId="1" sqref="R319" start="0" length="0">
      <dxf>
        <font>
          <sz val="12"/>
        </font>
        <alignment horizontal="center" vertical="top"/>
        <border outline="0">
          <left style="thin">
            <color indexed="64"/>
          </left>
          <right style="thin">
            <color indexed="64"/>
          </right>
          <top style="thin">
            <color indexed="64"/>
          </top>
          <bottom style="medium">
            <color indexed="64"/>
          </bottom>
        </border>
      </dxf>
    </rfmt>
    <rcc rId="0" sId="1" s="1" dxf="1">
      <nc r="S319">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T319">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U319">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V319">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W319">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X319">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Y319">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Z319">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AA319">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AB319">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AC319">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AD319">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AE319">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AF319">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AG319">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AH319">
        <f>#REF!+#REF!+#REF!</f>
      </nc>
      <ndxf>
        <font>
          <sz val="12"/>
          <color theme="1"/>
          <name val="Calibri"/>
          <family val="2"/>
          <charset val="238"/>
          <scheme val="minor"/>
        </font>
        <numFmt numFmtId="164" formatCode="_-* #,##0.00\ _l_e_i_-;\-* #,##0.00\ _l_e_i_-;_-* &quot;-&quot;??\ _l_e_i_-;_-@_-"/>
        <alignment vertical="center"/>
        <border outline="0">
          <left style="thin">
            <color indexed="64"/>
          </left>
          <right style="thin">
            <color indexed="64"/>
          </right>
          <top style="thin">
            <color indexed="64"/>
          </top>
          <bottom style="medium">
            <color indexed="64"/>
          </bottom>
        </border>
      </ndxf>
    </rcc>
    <rcc rId="0" sId="1" s="1" dxf="1">
      <nc r="AI319">
        <f>#REF!+#REF!+#REF!</f>
      </nc>
      <ndxf>
        <font>
          <sz val="12"/>
          <color theme="1"/>
          <name val="Calibri"/>
          <family val="2"/>
          <charset val="238"/>
          <scheme val="minor"/>
        </font>
        <numFmt numFmtId="164" formatCode="_-* #,##0.00\ _l_e_i_-;\-* #,##0.00\ _l_e_i_-;_-* &quot;-&quot;??\ _l_e_i_-;_-@_-"/>
        <alignment vertical="center"/>
        <border outline="0">
          <left style="thin">
            <color indexed="64"/>
          </left>
          <right style="thin">
            <color indexed="64"/>
          </right>
          <top style="thin">
            <color indexed="64"/>
          </top>
          <bottom style="medium">
            <color indexed="64"/>
          </bottom>
        </border>
      </ndxf>
    </rcc>
    <rcc rId="0" sId="1" s="1" dxf="1">
      <nc r="AJ319">
        <f>#REF!+#REF!+#REF!</f>
      </nc>
      <ndxf>
        <font>
          <sz val="12"/>
          <color theme="1"/>
          <name val="Calibri"/>
          <family val="2"/>
          <charset val="238"/>
          <scheme val="minor"/>
        </font>
        <numFmt numFmtId="4" formatCode="#,##0.00"/>
        <alignment vertical="center"/>
        <border outline="0">
          <left style="thin">
            <color indexed="64"/>
          </left>
          <right style="thin">
            <color indexed="64"/>
          </right>
          <top style="thin">
            <color indexed="64"/>
          </top>
          <bottom style="medium">
            <color indexed="64"/>
          </bottom>
        </border>
      </ndxf>
    </rcc>
    <rcc rId="0" sId="1" s="1" dxf="1">
      <nc r="AK319">
        <f>#REF!+#REF!+#REF!</f>
      </nc>
      <ndxf>
        <font>
          <sz val="12"/>
          <color theme="1"/>
          <name val="Calibri"/>
          <family val="2"/>
          <charset val="238"/>
          <scheme val="minor"/>
        </font>
        <numFmt numFmtId="4" formatCode="#,##0.00"/>
        <alignment vertical="center"/>
        <border outline="0">
          <left style="thin">
            <color indexed="64"/>
          </left>
          <right style="thin">
            <color indexed="64"/>
          </right>
          <top style="thin">
            <color indexed="64"/>
          </top>
          <bottom style="medium">
            <color indexed="64"/>
          </bottom>
        </border>
      </ndxf>
    </rcc>
  </rrc>
  <rrc rId="6218"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cc rId="0" sId="1" dxf="1">
      <nc r="S319" t="inlineStr">
        <is>
          <t xml:space="preserve">Finanțare acordată </t>
        </is>
      </nc>
      <ndxf>
        <font>
          <b/>
          <sz val="12"/>
          <color auto="1"/>
          <name val="Calibri"/>
          <family val="2"/>
          <charset val="238"/>
          <scheme val="minor"/>
        </font>
        <numFmt numFmtId="4" formatCode="#,##0.00"/>
        <alignment horizontal="center" vertical="center" wrapText="1"/>
        <border outline="0">
          <left style="thin">
            <color indexed="64"/>
          </left>
          <top style="thin">
            <color indexed="64"/>
          </top>
          <bottom style="thin">
            <color indexed="64"/>
          </bottom>
        </border>
      </ndxf>
    </rcc>
    <rfmt sheetId="1" sqref="T319" start="0" length="0">
      <dxf>
        <font>
          <b/>
          <sz val="12"/>
          <color auto="1"/>
          <name val="Calibri"/>
          <family val="2"/>
          <charset val="238"/>
          <scheme val="minor"/>
        </font>
        <numFmt numFmtId="4" formatCode="#,##0.00"/>
        <alignment horizontal="center" vertical="center" wrapText="1"/>
        <border outline="0">
          <top style="thin">
            <color indexed="64"/>
          </top>
          <bottom style="thin">
            <color indexed="64"/>
          </bottom>
        </border>
      </dxf>
    </rfmt>
    <rfmt sheetId="1" sqref="U319" start="0" length="0">
      <dxf>
        <font>
          <b/>
          <sz val="12"/>
          <color auto="1"/>
          <name val="Calibri"/>
          <family val="2"/>
          <charset val="238"/>
          <scheme val="minor"/>
        </font>
        <numFmt numFmtId="4" formatCode="#,##0.00"/>
        <alignment horizontal="center" vertical="center" wrapText="1"/>
        <border outline="0">
          <top style="thin">
            <color indexed="64"/>
          </top>
          <bottom style="thin">
            <color indexed="64"/>
          </bottom>
        </border>
      </dxf>
    </rfmt>
    <rfmt sheetId="1" sqref="V319" start="0" length="0">
      <dxf>
        <font>
          <b/>
          <sz val="12"/>
          <color auto="1"/>
          <name val="Calibri"/>
          <family val="2"/>
          <charset val="238"/>
          <scheme val="minor"/>
        </font>
        <numFmt numFmtId="4" formatCode="#,##0.00"/>
        <alignment horizontal="center" vertical="center" wrapText="1"/>
        <border outline="0">
          <top style="thin">
            <color indexed="64"/>
          </top>
          <bottom style="thin">
            <color indexed="64"/>
          </bottom>
        </border>
      </dxf>
    </rfmt>
    <rfmt sheetId="1" sqref="W319" start="0" length="0">
      <dxf>
        <alignment horizontal="center" vertical="center" wrapText="1"/>
        <border outline="0">
          <top style="thin">
            <color indexed="64"/>
          </top>
          <bottom style="thin">
            <color indexed="64"/>
          </bottom>
        </border>
      </dxf>
    </rfmt>
    <rfmt sheetId="1" sqref="X319" start="0" length="0">
      <dxf>
        <alignment horizontal="center" vertical="center" wrapText="1"/>
        <border outline="0">
          <right style="thin">
            <color indexed="64"/>
          </right>
          <top style="thin">
            <color indexed="64"/>
          </top>
          <bottom style="thin">
            <color indexed="64"/>
          </bottom>
        </border>
      </dxf>
    </rfmt>
    <rcc rId="0" sId="1" dxf="1">
      <nc r="Y319" t="inlineStr">
        <is>
          <t>Contribuția proprie a beneficiarului</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Z31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A31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cc rId="0" sId="1" dxf="1">
      <nc r="AB319" t="inlineStr">
        <is>
          <t>Contribuție privată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AC31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D31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cc rId="0" sId="1" dxf="1">
      <nc r="AE319" t="inlineStr">
        <is>
          <t xml:space="preserve">Valoarea eligibila </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AF319" t="inlineStr">
        <is>
          <t>Cheltuieli neeligibile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AG31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H319"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319"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cc rId="0" sId="1" dxf="1">
      <nc r="AJ319" t="inlineStr">
        <is>
          <t>Fonduri UE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AK319" t="inlineStr">
        <is>
          <t>Contribuția națională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rc>
  <rrc rId="6219" sId="1" ref="A319:XFD319" action="deleteRow">
    <undo index="65535" exp="area" ref3D="1" dr="$C$1:$C$319" dn="Z_4C2A0B30_0070_415E_A110_A9BCC2779710_.wvu.FilterData" sId="1"/>
    <undo index="65535" exp="area" ref3D="1" dr="$H$1:$N$1048576" dn="Z_65B035E3_87FA_46C5_996E_864F2C8D0EBC_.wvu.Cols" sId="1"/>
    <undo index="65535" exp="area" ref3D="1" dr="$C$1:$C$319" dn="Z_59EBF1CB_AF85_469A_B1D0_E57CB0203158_.wvu.FilterData" sId="1"/>
    <undo index="65535" exp="area" ref3D="1" dr="$C$1:$C$319" dn="Z_15F03B40_FCDD_463A_AE42_63F6121ACBED_.wvu.FilterData" sId="1"/>
    <undo index="65535" exp="area" ref3D="1" dr="$B$1:$B$319" dn="Z_905D93EA_5662_45AB_8995_A9908B3E5D52_.wvu.FilterData" sId="1"/>
    <undo index="65535" exp="area" ref3D="1" dr="$B$1:$B$319" dn="Z_A093D1FA_1747_4946_A02E_7D721604BB07_.wvu.FilterData" sId="1"/>
    <undo index="65535" exp="area" ref3D="1" dr="$C$1:$C$319" dn="Z_7C389A6C_C379_45EF_8779_FEC15F27C7E7_.wvu.FilterData"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cc rId="0" sId="1" dxf="1">
      <nc r="S319" t="inlineStr">
        <is>
          <t>Fonduri UE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T319" t="inlineStr">
        <is>
          <t>regiune mai puțin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U319" t="inlineStr">
        <is>
          <t>regiune mai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V319" t="inlineStr">
        <is>
          <t>Buget național</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W319" t="inlineStr">
        <is>
          <t>regiune mai puțin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X319" t="inlineStr">
        <is>
          <t>regiune mai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Y31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cc rId="0" sId="1" dxf="1">
      <nc r="Z319" t="inlineStr">
        <is>
          <t>regiune mai puțin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AA319" t="inlineStr">
        <is>
          <t>regiune mai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AB31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C31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D31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E31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F31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G31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H319"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319"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J31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K31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rc>
  <rrc rId="6220"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21"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22"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23"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24"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E319" start="0" length="0">
      <dxf>
        <numFmt numFmtId="166" formatCode="#,##0.00_ ;\-#,##0.00\ "/>
      </dxf>
    </rfmt>
    <rfmt sheetId="1" sqref="AI319" start="0" length="0">
      <dxf>
        <alignment vertical="top" wrapText="1"/>
      </dxf>
    </rfmt>
  </rrc>
  <rrc rId="6225"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26"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27"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28"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29"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30"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31"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32"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33"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34"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35"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36"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37"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38"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39"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40"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41"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42"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43"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44"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45"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46"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47"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48"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49"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50"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51"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52"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53"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54"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55"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56"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57"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58"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59"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60"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61"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62"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63"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64"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65"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66"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67"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68"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69"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70"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71"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72"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73"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74"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75"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76"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77"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78"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79"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80"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81"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82"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83"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84"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85"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86"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87"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88"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89"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90"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91"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92"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93"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94"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95"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96"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97"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98"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299"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00"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01"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02"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03"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04"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05"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06"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07"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08"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09"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10"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11"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12"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13"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14"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15"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16"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17"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18"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19"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20"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21"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22"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23"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24"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25"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26"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27"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28"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29"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30"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31"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32"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33"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34"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35"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36"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37"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38"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39"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rc rId="6340" sId="1" ref="A319:XFD319" action="deleteRow">
    <undo index="65535" exp="area" ref3D="1" dr="$H$1:$N$1048576" dn="Z_65B035E3_87FA_46C5_996E_864F2C8D0EBC_.wvu.Cols" sId="1"/>
    <rfmt sheetId="1" xfDxf="1" sqref="A319:XFD319" start="0" length="0"/>
    <rfmt sheetId="1" sqref="C319" start="0" length="0">
      <dxf>
        <font>
          <b/>
          <sz val="11"/>
          <color theme="1"/>
          <name val="Calibri"/>
          <family val="2"/>
          <charset val="238"/>
          <scheme val="minor"/>
        </font>
      </dxf>
    </rfmt>
    <rfmt sheetId="1" sqref="G319" start="0" length="0">
      <dxf>
        <alignment horizontal="left" vertical="top"/>
      </dxf>
    </rfmt>
    <rfmt sheetId="1" sqref="H319" start="0" length="0">
      <dxf>
        <alignment horizontal="left" vertical="top"/>
      </dxf>
    </rfmt>
    <rfmt sheetId="1" sqref="I319" start="0" length="0">
      <dxf>
        <alignment horizontal="center" vertical="top"/>
      </dxf>
    </rfmt>
    <rfmt sheetId="1" sqref="K319" start="0" length="0">
      <dxf>
        <alignment horizontal="center" vertical="top"/>
      </dxf>
    </rfmt>
    <rfmt sheetId="1" sqref="L319" start="0" length="0">
      <dxf>
        <alignment horizontal="center" vertical="top"/>
      </dxf>
    </rfmt>
    <rfmt sheetId="1" sqref="M319" start="0" length="0">
      <dxf>
        <alignment horizontal="center" vertical="top"/>
      </dxf>
    </rfmt>
    <rfmt sheetId="1" sqref="N319" start="0" length="0">
      <dxf>
        <alignment horizontal="center" vertical="top"/>
      </dxf>
    </rfmt>
    <rfmt sheetId="1" sqref="O319" start="0" length="0">
      <dxf>
        <alignment horizontal="center" vertical="top"/>
      </dxf>
    </rfmt>
    <rfmt sheetId="1" sqref="P319" start="0" length="0">
      <dxf>
        <alignment horizontal="center" vertical="top"/>
      </dxf>
    </rfmt>
    <rfmt sheetId="1" sqref="Q319" start="0" length="0">
      <dxf>
        <alignment horizontal="center" vertical="top"/>
      </dxf>
    </rfmt>
    <rfmt sheetId="1" sqref="R319" start="0" length="0">
      <dxf>
        <alignment horizontal="center" vertical="top"/>
      </dxf>
    </rfmt>
    <rfmt sheetId="1" sqref="AI319" start="0" length="0">
      <dxf>
        <alignment vertical="top" wrapText="1"/>
      </dxf>
    </rfmt>
  </rrc>
  <rfmt sheetId="1" sqref="A10" start="0" length="0">
    <dxf>
      <border outline="0">
        <left style="medium">
          <color indexed="64"/>
        </left>
      </border>
    </dxf>
  </rfmt>
  <rfmt sheetId="1" sqref="A11" start="0" length="0">
    <dxf>
      <border outline="0">
        <left style="thin">
          <color indexed="64"/>
        </left>
      </border>
    </dxf>
  </rfmt>
  <rfmt sheetId="1" sqref="A12" start="0" length="0">
    <dxf>
      <border outline="0">
        <left style="medium">
          <color indexed="64"/>
        </left>
      </border>
    </dxf>
  </rfmt>
  <rfmt sheetId="1" sqref="A13" start="0" length="0">
    <dxf>
      <border outline="0">
        <left style="medium">
          <color indexed="64"/>
        </left>
      </border>
    </dxf>
  </rfmt>
  <rcc rId="6341" sId="1" odxf="1" dxf="1">
    <oc r="A14">
      <v>1</v>
    </oc>
    <nc r="A14">
      <v>8</v>
    </nc>
    <odxf>
      <border outline="0">
        <left style="medium">
          <color indexed="64"/>
        </left>
      </border>
    </odxf>
    <ndxf>
      <border outline="0">
        <left style="thin">
          <color indexed="64"/>
        </left>
      </border>
    </ndxf>
  </rcc>
  <rcc rId="6342" sId="1" odxf="1" dxf="1">
    <oc r="A15">
      <v>2</v>
    </oc>
    <nc r="A15">
      <v>9</v>
    </nc>
    <odxf>
      <font>
        <sz val="12"/>
        <color auto="1"/>
      </font>
    </odxf>
    <ndxf>
      <font>
        <sz val="12"/>
        <color auto="1"/>
      </font>
    </ndxf>
  </rcc>
  <rcc rId="6343" sId="1" odxf="1" dxf="1">
    <oc r="A16">
      <v>3</v>
    </oc>
    <nc r="A16">
      <v>10</v>
    </nc>
    <odxf>
      <font>
        <sz val="12"/>
        <color auto="1"/>
      </font>
    </odxf>
    <ndxf>
      <font>
        <sz val="12"/>
        <color auto="1"/>
      </font>
    </ndxf>
  </rcc>
  <rcc rId="6344" sId="1" odxf="1" dxf="1">
    <oc r="A17">
      <v>1</v>
    </oc>
    <nc r="A17">
      <v>11</v>
    </nc>
    <odxf>
      <border outline="0">
        <left style="medium">
          <color indexed="64"/>
        </left>
      </border>
    </odxf>
    <ndxf>
      <border outline="0">
        <left style="thin">
          <color indexed="64"/>
        </left>
      </border>
    </ndxf>
  </rcc>
  <rcc rId="6345" sId="1">
    <oc r="A18">
      <v>2</v>
    </oc>
    <nc r="A18">
      <v>12</v>
    </nc>
  </rcc>
  <rcc rId="6346" sId="1">
    <oc r="A19">
      <v>3</v>
    </oc>
    <nc r="A19">
      <v>13</v>
    </nc>
  </rcc>
  <rcc rId="6347" sId="1" odxf="1" dxf="1">
    <nc r="A20">
      <v>14</v>
    </nc>
    <odxf>
      <font>
        <b/>
        <sz val="12"/>
        <color auto="1"/>
      </font>
      <border outline="0">
        <left style="medium">
          <color indexed="64"/>
        </left>
      </border>
    </odxf>
    <ndxf>
      <font>
        <b val="0"/>
        <sz val="12"/>
        <color auto="1"/>
      </font>
      <border outline="0">
        <left style="thin">
          <color indexed="64"/>
        </left>
      </border>
    </ndxf>
  </rcc>
  <rcc rId="6348" sId="1" odxf="1" dxf="1">
    <nc r="A21">
      <v>15</v>
    </nc>
    <odxf>
      <font>
        <b/>
        <sz val="12"/>
        <color auto="1"/>
      </font>
    </odxf>
    <ndxf>
      <font>
        <b val="0"/>
        <sz val="12"/>
        <color auto="1"/>
      </font>
    </ndxf>
  </rcc>
  <rcc rId="6349" sId="1" odxf="1" dxf="1">
    <oc r="A22">
      <v>1</v>
    </oc>
    <nc r="A22">
      <v>16</v>
    </nc>
    <odxf>
      <font>
        <b/>
        <sz val="12"/>
        <color auto="1"/>
      </font>
    </odxf>
    <ndxf>
      <font>
        <b val="0"/>
        <sz val="12"/>
        <color auto="1"/>
      </font>
    </ndxf>
  </rcc>
  <rcc rId="6350" sId="1" odxf="1" dxf="1">
    <oc r="A23">
      <v>2</v>
    </oc>
    <nc r="A23">
      <v>17</v>
    </nc>
    <odxf>
      <font>
        <b/>
        <sz val="12"/>
        <color auto="1"/>
      </font>
      <border outline="0">
        <left style="medium">
          <color indexed="64"/>
        </left>
      </border>
    </odxf>
    <ndxf>
      <font>
        <b val="0"/>
        <sz val="12"/>
        <color auto="1"/>
      </font>
      <border outline="0">
        <left style="thin">
          <color indexed="64"/>
        </left>
      </border>
    </ndxf>
  </rcc>
  <rcc rId="6351" sId="1" odxf="1" dxf="1">
    <oc r="A24">
      <v>3</v>
    </oc>
    <nc r="A24">
      <v>18</v>
    </nc>
    <odxf>
      <font>
        <b/>
        <sz val="12"/>
        <color auto="1"/>
      </font>
    </odxf>
    <ndxf>
      <font>
        <b val="0"/>
        <sz val="12"/>
        <color auto="1"/>
      </font>
    </ndxf>
  </rcc>
  <rcc rId="6352" sId="1">
    <oc r="A25">
      <v>1</v>
    </oc>
    <nc r="A25">
      <v>19</v>
    </nc>
  </rcc>
  <rcc rId="6353" sId="1" odxf="1" dxf="1">
    <oc r="A26">
      <v>2</v>
    </oc>
    <nc r="A26">
      <v>20</v>
    </nc>
    <odxf>
      <font>
        <b/>
        <sz val="12"/>
        <color auto="1"/>
      </font>
      <border outline="0">
        <left style="medium">
          <color indexed="64"/>
        </left>
      </border>
    </odxf>
    <ndxf>
      <font>
        <b val="0"/>
        <sz val="12"/>
        <color auto="1"/>
      </font>
      <border outline="0">
        <left style="thin">
          <color indexed="64"/>
        </left>
      </border>
    </ndxf>
  </rcc>
  <rcc rId="6354" sId="1">
    <oc r="A27">
      <v>1</v>
    </oc>
    <nc r="A27">
      <v>21</v>
    </nc>
  </rcc>
  <rcc rId="6355" sId="1" odxf="1" dxf="1">
    <oc r="A28">
      <v>1</v>
    </oc>
    <nc r="A28">
      <v>22</v>
    </nc>
    <odxf>
      <font>
        <b/>
        <sz val="12"/>
        <color auto="1"/>
      </font>
    </odxf>
    <ndxf>
      <font>
        <b val="0"/>
        <sz val="12"/>
        <color auto="1"/>
      </font>
    </ndxf>
  </rcc>
  <rcc rId="6356" sId="1" odxf="1" dxf="1">
    <oc r="A29">
      <v>2</v>
    </oc>
    <nc r="A29">
      <v>23</v>
    </nc>
    <odxf>
      <font>
        <b/>
        <sz val="12"/>
        <color auto="1"/>
      </font>
      <border outline="0">
        <left style="medium">
          <color indexed="64"/>
        </left>
      </border>
    </odxf>
    <ndxf>
      <font>
        <b val="0"/>
        <sz val="12"/>
        <color auto="1"/>
      </font>
      <border outline="0">
        <left style="thin">
          <color indexed="64"/>
        </left>
      </border>
    </ndxf>
  </rcc>
  <rcc rId="6357" sId="1" odxf="1" dxf="1">
    <oc r="A30">
      <v>1</v>
    </oc>
    <nc r="A30">
      <v>24</v>
    </nc>
    <odxf>
      <border outline="0">
        <left style="thin">
          <color indexed="64"/>
        </left>
      </border>
    </odxf>
    <ndxf>
      <border outline="0">
        <left style="medium">
          <color indexed="64"/>
        </left>
      </border>
    </ndxf>
  </rcc>
  <rcc rId="6358" sId="1" odxf="1" dxf="1">
    <oc r="A31">
      <v>2</v>
    </oc>
    <nc r="A31">
      <v>25</v>
    </nc>
    <odxf>
      <border outline="0">
        <left style="thin">
          <color indexed="64"/>
        </left>
      </border>
    </odxf>
    <ndxf>
      <border outline="0">
        <left style="medium">
          <color indexed="64"/>
        </left>
      </border>
    </ndxf>
  </rcc>
  <rcc rId="6359" sId="1" odxf="1" dxf="1">
    <oc r="A32">
      <v>3</v>
    </oc>
    <nc r="A32">
      <v>26</v>
    </nc>
    <odxf>
      <font>
        <b/>
        <sz val="12"/>
        <color auto="1"/>
      </font>
      <border outline="0">
        <left style="medium">
          <color indexed="64"/>
        </left>
      </border>
    </odxf>
    <ndxf>
      <font>
        <b val="0"/>
        <sz val="12"/>
        <color auto="1"/>
      </font>
      <border outline="0">
        <left style="thin">
          <color indexed="64"/>
        </left>
      </border>
    </ndxf>
  </rcc>
  <rcc rId="6360" sId="1" odxf="1" dxf="1">
    <nc r="A33">
      <v>27</v>
    </nc>
    <odxf>
      <font>
        <b/>
        <sz val="12"/>
        <color auto="1"/>
      </font>
    </odxf>
    <ndxf>
      <font>
        <b val="0"/>
        <sz val="12"/>
        <color auto="1"/>
      </font>
    </ndxf>
  </rcc>
  <rcc rId="6361" sId="1">
    <oc r="A34">
      <v>1</v>
    </oc>
    <nc r="A34">
      <v>28</v>
    </nc>
  </rcc>
  <rcc rId="6362" sId="1" odxf="1" dxf="1">
    <oc r="A35">
      <v>2</v>
    </oc>
    <nc r="A35">
      <v>29</v>
    </nc>
    <odxf>
      <border outline="0">
        <left style="medium">
          <color indexed="64"/>
        </left>
      </border>
    </odxf>
    <ndxf>
      <border outline="0">
        <left style="thin">
          <color indexed="64"/>
        </left>
      </border>
    </ndxf>
  </rcc>
  <rcc rId="6363" sId="1">
    <oc r="A36">
      <v>3</v>
    </oc>
    <nc r="A36">
      <v>30</v>
    </nc>
  </rcc>
  <rcc rId="6364" sId="1" odxf="1" dxf="1">
    <oc r="A37">
      <v>4</v>
    </oc>
    <nc r="A37">
      <v>31</v>
    </nc>
    <odxf>
      <font>
        <sz val="12"/>
        <color auto="1"/>
      </font>
    </odxf>
    <ndxf>
      <font>
        <sz val="12"/>
        <color auto="1"/>
      </font>
    </ndxf>
  </rcc>
  <rcc rId="6365" sId="1" odxf="1" dxf="1">
    <oc r="A38">
      <v>5</v>
    </oc>
    <nc r="A38">
      <v>32</v>
    </nc>
    <odxf>
      <font>
        <sz val="12"/>
        <color auto="1"/>
      </font>
      <border outline="0">
        <left style="medium">
          <color indexed="64"/>
        </left>
      </border>
    </odxf>
    <ndxf>
      <font>
        <sz val="12"/>
        <color auto="1"/>
      </font>
      <border outline="0">
        <left style="thin">
          <color indexed="64"/>
        </left>
      </border>
    </ndxf>
  </rcc>
  <rcc rId="6366" sId="1" odxf="1" dxf="1">
    <oc r="A39">
      <v>6</v>
    </oc>
    <nc r="A39">
      <v>33</v>
    </nc>
    <odxf>
      <font>
        <sz val="12"/>
        <color auto="1"/>
      </font>
    </odxf>
    <ndxf>
      <font>
        <sz val="12"/>
        <color auto="1"/>
      </font>
    </ndxf>
  </rcc>
  <rcc rId="6367" sId="1">
    <oc r="A40">
      <v>1</v>
    </oc>
    <nc r="A40">
      <v>34</v>
    </nc>
  </rcc>
  <rcc rId="6368" sId="1" odxf="1" dxf="1">
    <oc r="A41">
      <v>2</v>
    </oc>
    <nc r="A41">
      <v>35</v>
    </nc>
    <odxf>
      <font>
        <b/>
        <sz val="12"/>
        <color auto="1"/>
      </font>
      <border outline="0">
        <left style="medium">
          <color indexed="64"/>
        </left>
      </border>
    </odxf>
    <ndxf>
      <font>
        <b val="0"/>
        <sz val="12"/>
        <color auto="1"/>
      </font>
      <border outline="0">
        <left style="thin">
          <color indexed="64"/>
        </left>
      </border>
    </ndxf>
  </rcc>
  <rcc rId="6369" sId="1" odxf="1" dxf="1">
    <oc r="A42">
      <v>3</v>
    </oc>
    <nc r="A42">
      <v>36</v>
    </nc>
    <odxf>
      <font>
        <b/>
        <sz val="12"/>
        <color auto="1"/>
      </font>
    </odxf>
    <ndxf>
      <font>
        <b val="0"/>
        <sz val="12"/>
        <color auto="1"/>
      </font>
    </ndxf>
  </rcc>
  <rcc rId="6370" sId="1" odxf="1" dxf="1">
    <oc r="A43">
      <v>4</v>
    </oc>
    <nc r="A43">
      <v>37</v>
    </nc>
    <odxf>
      <font>
        <b/>
        <sz val="12"/>
        <color auto="1"/>
      </font>
    </odxf>
    <ndxf>
      <font>
        <b val="0"/>
        <sz val="12"/>
        <color auto="1"/>
      </font>
    </ndxf>
  </rcc>
  <rcc rId="6371" sId="1" odxf="1" dxf="1">
    <oc r="A44">
      <v>5</v>
    </oc>
    <nc r="A44">
      <v>38</v>
    </nc>
    <odxf>
      <font>
        <b/>
        <sz val="12"/>
        <color auto="1"/>
      </font>
      <border outline="0">
        <left style="medium">
          <color indexed="64"/>
        </left>
      </border>
    </odxf>
    <ndxf>
      <font>
        <b val="0"/>
        <sz val="12"/>
        <color auto="1"/>
      </font>
      <border outline="0">
        <left style="thin">
          <color indexed="64"/>
        </left>
      </border>
    </ndxf>
  </rcc>
  <rcc rId="6372" sId="1" odxf="1" dxf="1">
    <oc r="A45">
      <v>6</v>
    </oc>
    <nc r="A45">
      <v>39</v>
    </nc>
    <odxf>
      <font>
        <b/>
        <sz val="12"/>
        <color auto="1"/>
      </font>
    </odxf>
    <ndxf>
      <font>
        <b val="0"/>
        <sz val="12"/>
        <color auto="1"/>
      </font>
    </ndxf>
  </rcc>
  <rcc rId="6373" sId="1" odxf="1" dxf="1">
    <oc r="A46">
      <v>7</v>
    </oc>
    <nc r="A46">
      <v>40</v>
    </nc>
    <odxf>
      <font>
        <b/>
        <sz val="12"/>
        <color auto="1"/>
      </font>
    </odxf>
    <ndxf>
      <font>
        <b val="0"/>
        <sz val="12"/>
        <color auto="1"/>
      </font>
    </ndxf>
  </rcc>
  <rcc rId="6374" sId="1" odxf="1" dxf="1">
    <oc r="A47">
      <v>2</v>
    </oc>
    <nc r="A47">
      <v>41</v>
    </nc>
    <odxf>
      <font>
        <b/>
        <sz val="12"/>
        <color auto="1"/>
      </font>
      <border outline="0">
        <left style="medium">
          <color indexed="64"/>
        </left>
      </border>
    </odxf>
    <ndxf>
      <font>
        <b val="0"/>
        <sz val="12"/>
        <color auto="1"/>
      </font>
      <border outline="0">
        <left style="thin">
          <color indexed="64"/>
        </left>
      </border>
    </ndxf>
  </rcc>
  <rcc rId="6375" sId="1" odxf="1" dxf="1">
    <oc r="A48">
      <v>3</v>
    </oc>
    <nc r="A48">
      <v>42</v>
    </nc>
    <odxf>
      <font>
        <b/>
        <sz val="12"/>
        <color auto="1"/>
      </font>
    </odxf>
    <ndxf>
      <font>
        <b val="0"/>
        <sz val="12"/>
        <color auto="1"/>
      </font>
    </ndxf>
  </rcc>
  <rcc rId="6376" sId="1" odxf="1" dxf="1">
    <oc r="A49">
      <v>4</v>
    </oc>
    <nc r="A49">
      <v>43</v>
    </nc>
    <odxf>
      <border outline="0">
        <left/>
      </border>
    </odxf>
    <ndxf>
      <border outline="0">
        <left style="medium">
          <color indexed="64"/>
        </left>
      </border>
    </ndxf>
  </rcc>
  <rcc rId="6377" sId="1" odxf="1" dxf="1">
    <oc r="A50">
      <v>5</v>
    </oc>
    <nc r="A50">
      <v>44</v>
    </nc>
    <odxf>
      <border outline="0">
        <left/>
      </border>
    </odxf>
    <ndxf>
      <border outline="0">
        <left style="thin">
          <color indexed="64"/>
        </left>
      </border>
    </ndxf>
  </rcc>
  <rcc rId="6378" sId="1" odxf="1" dxf="1">
    <oc r="A51">
      <v>1</v>
    </oc>
    <nc r="A51">
      <v>45</v>
    </nc>
    <odxf>
      <font>
        <b/>
        <sz val="12"/>
        <color auto="1"/>
      </font>
    </odxf>
    <ndxf>
      <font>
        <b val="0"/>
        <sz val="12"/>
        <color auto="1"/>
      </font>
    </ndxf>
  </rcc>
  <rcc rId="6379" sId="1" odxf="1" dxf="1">
    <oc r="A52">
      <v>2</v>
    </oc>
    <nc r="A52">
      <v>46</v>
    </nc>
    <odxf>
      <font>
        <b/>
        <sz val="12"/>
        <color auto="1"/>
      </font>
    </odxf>
    <ndxf>
      <font>
        <b val="0"/>
        <sz val="12"/>
        <color auto="1"/>
      </font>
    </ndxf>
  </rcc>
  <rcc rId="6380" sId="1" odxf="1" dxf="1">
    <oc r="A53">
      <v>3</v>
    </oc>
    <nc r="A53">
      <v>47</v>
    </nc>
    <odxf>
      <font>
        <b/>
        <sz val="12"/>
        <color auto="1"/>
      </font>
      <border outline="0">
        <left style="medium">
          <color indexed="64"/>
        </left>
      </border>
    </odxf>
    <ndxf>
      <font>
        <b val="0"/>
        <sz val="12"/>
        <color auto="1"/>
      </font>
      <border outline="0">
        <left style="thin">
          <color indexed="64"/>
        </left>
      </border>
    </ndxf>
  </rcc>
  <rcc rId="6381" sId="1" odxf="1" dxf="1">
    <oc r="A54">
      <v>1</v>
    </oc>
    <nc r="A54">
      <v>48</v>
    </nc>
    <odxf>
      <font>
        <b/>
        <sz val="12"/>
        <color auto="1"/>
      </font>
    </odxf>
    <ndxf>
      <font>
        <b val="0"/>
        <sz val="12"/>
        <color auto="1"/>
      </font>
    </ndxf>
  </rcc>
  <rcc rId="6382" sId="1">
    <oc r="A55">
      <v>1</v>
    </oc>
    <nc r="A55">
      <v>49</v>
    </nc>
  </rcc>
  <rcc rId="6383" sId="1" odxf="1" dxf="1">
    <oc r="A56">
      <v>2</v>
    </oc>
    <nc r="A56">
      <v>50</v>
    </nc>
    <odxf>
      <border outline="0">
        <left style="medium">
          <color indexed="64"/>
        </left>
      </border>
    </odxf>
    <ndxf>
      <border outline="0">
        <left style="thin">
          <color indexed="64"/>
        </left>
      </border>
    </ndxf>
  </rcc>
  <rcc rId="6384" sId="1">
    <oc r="A57">
      <v>3</v>
    </oc>
    <nc r="A57">
      <v>51</v>
    </nc>
  </rcc>
  <rcc rId="6385" sId="1">
    <oc r="A58">
      <v>4</v>
    </oc>
    <nc r="A58">
      <v>52</v>
    </nc>
  </rcc>
  <rcc rId="6386" sId="1">
    <oc r="A59">
      <v>1</v>
    </oc>
    <nc r="A59">
      <v>53</v>
    </nc>
  </rcc>
  <rcc rId="6387" sId="1">
    <oc r="A60">
      <v>2</v>
    </oc>
    <nc r="A60">
      <v>54</v>
    </nc>
  </rcc>
  <rcc rId="6388" sId="1">
    <oc r="A61">
      <v>3</v>
    </oc>
    <nc r="A61">
      <v>55</v>
    </nc>
  </rcc>
  <rcc rId="6389" sId="1" odxf="1" dxf="1">
    <oc r="A62">
      <v>1</v>
    </oc>
    <nc r="A62">
      <v>56</v>
    </nc>
    <odxf>
      <border outline="0">
        <left style="medium">
          <color indexed="64"/>
        </left>
      </border>
    </odxf>
    <ndxf>
      <border outline="0">
        <left style="thin">
          <color indexed="64"/>
        </left>
      </border>
    </ndxf>
  </rcc>
  <rcc rId="6390" sId="1">
    <oc r="A63">
      <v>2</v>
    </oc>
    <nc r="A63">
      <v>57</v>
    </nc>
  </rcc>
  <rcc rId="6391" sId="1">
    <oc r="A64">
      <v>1</v>
    </oc>
    <nc r="A64">
      <v>58</v>
    </nc>
  </rcc>
  <rcc rId="6392" sId="1" odxf="1" dxf="1">
    <oc r="A65">
      <v>2</v>
    </oc>
    <nc r="A65">
      <v>59</v>
    </nc>
    <odxf>
      <font>
        <b/>
        <sz val="12"/>
        <color auto="1"/>
      </font>
    </odxf>
    <ndxf>
      <font>
        <b val="0"/>
        <sz val="12"/>
        <color auto="1"/>
      </font>
    </ndxf>
  </rcc>
  <rcc rId="6393" sId="1" odxf="1" dxf="1">
    <oc r="A66">
      <v>3</v>
    </oc>
    <nc r="A66">
      <v>60</v>
    </nc>
    <odxf>
      <font>
        <sz val="12"/>
        <color auto="1"/>
      </font>
      <border outline="0">
        <top/>
      </border>
    </odxf>
    <ndxf>
      <font>
        <sz val="12"/>
        <color auto="1"/>
      </font>
      <border outline="0">
        <top style="thin">
          <color indexed="64"/>
        </top>
      </border>
    </ndxf>
  </rcc>
  <rcc rId="6394" sId="1" odxf="1" dxf="1">
    <oc r="A67">
      <v>3</v>
    </oc>
    <nc r="A67">
      <v>61</v>
    </nc>
    <odxf>
      <font>
        <sz val="12"/>
        <color auto="1"/>
      </font>
    </odxf>
    <ndxf>
      <font>
        <sz val="12"/>
        <color auto="1"/>
      </font>
    </ndxf>
  </rcc>
  <rcc rId="6395" sId="1" odxf="1" dxf="1">
    <oc r="A68">
      <v>4</v>
    </oc>
    <nc r="A68">
      <v>62</v>
    </nc>
    <odxf>
      <font>
        <sz val="12"/>
        <color auto="1"/>
      </font>
      <border outline="0">
        <left style="medium">
          <color indexed="64"/>
        </left>
      </border>
    </odxf>
    <ndxf>
      <font>
        <sz val="12"/>
        <color auto="1"/>
      </font>
      <border outline="0">
        <left style="thin">
          <color indexed="64"/>
        </left>
      </border>
    </ndxf>
  </rcc>
  <rcc rId="6396" sId="1" odxf="1" dxf="1">
    <oc r="A69">
      <v>5</v>
    </oc>
    <nc r="A69">
      <v>63</v>
    </nc>
    <odxf>
      <font>
        <sz val="12"/>
        <color auto="1"/>
      </font>
      <numFmt numFmtId="3" formatCode="#,##0"/>
    </odxf>
    <ndxf>
      <font>
        <sz val="12"/>
        <color auto="1"/>
      </font>
      <numFmt numFmtId="0" formatCode="General"/>
    </ndxf>
  </rcc>
  <rcc rId="6397" sId="1">
    <oc r="A70">
      <v>1</v>
    </oc>
    <nc r="A70">
      <v>64</v>
    </nc>
  </rcc>
  <rcc rId="6398" sId="1" odxf="1" dxf="1">
    <oc r="A71">
      <v>2</v>
    </oc>
    <nc r="A71">
      <v>65</v>
    </nc>
    <odxf>
      <font>
        <sz val="12"/>
        <color auto="1"/>
      </font>
      <border outline="0">
        <left style="medium">
          <color indexed="64"/>
        </left>
      </border>
    </odxf>
    <ndxf>
      <font>
        <sz val="12"/>
        <color auto="1"/>
      </font>
      <border outline="0">
        <left style="thin">
          <color indexed="64"/>
        </left>
      </border>
    </ndxf>
  </rcc>
  <rcc rId="6399" sId="1" odxf="1" dxf="1">
    <oc r="A72">
      <v>3</v>
    </oc>
    <nc r="A72">
      <v>66</v>
    </nc>
    <odxf>
      <border outline="0">
        <left/>
      </border>
    </odxf>
    <ndxf>
      <border outline="0">
        <left style="medium">
          <color indexed="64"/>
        </left>
      </border>
    </ndxf>
  </rcc>
  <rcc rId="6400" sId="1" odxf="1" dxf="1">
    <oc r="A73">
      <v>4</v>
    </oc>
    <nc r="A73">
      <v>67</v>
    </nc>
    <odxf>
      <border outline="0">
        <left/>
      </border>
    </odxf>
    <ndxf>
      <border outline="0">
        <left style="medium">
          <color indexed="64"/>
        </left>
      </border>
    </ndxf>
  </rcc>
  <rcc rId="6401" sId="1">
    <oc r="A74">
      <v>1</v>
    </oc>
    <nc r="A74">
      <v>68</v>
    </nc>
  </rcc>
  <rcc rId="6402" sId="1" odxf="1" dxf="1">
    <oc r="A75">
      <v>2</v>
    </oc>
    <nc r="A75">
      <v>69</v>
    </nc>
    <odxf>
      <border outline="0">
        <left style="thin">
          <color indexed="64"/>
        </left>
      </border>
    </odxf>
    <ndxf>
      <border outline="0">
        <left style="medium">
          <color indexed="64"/>
        </left>
      </border>
    </ndxf>
  </rcc>
  <rcc rId="6403" sId="1" odxf="1" dxf="1">
    <oc r="A76">
      <v>3</v>
    </oc>
    <nc r="A76">
      <v>70</v>
    </nc>
    <odxf>
      <border outline="0">
        <left style="thin">
          <color indexed="64"/>
        </left>
      </border>
    </odxf>
    <ndxf>
      <border outline="0">
        <left style="medium">
          <color indexed="64"/>
        </left>
      </border>
    </ndxf>
  </rcc>
  <rcc rId="6404" sId="1" odxf="1" dxf="1">
    <oc r="A77">
      <v>4</v>
    </oc>
    <nc r="A77">
      <v>71</v>
    </nc>
    <odxf>
      <font>
        <b/>
        <sz val="12"/>
        <color auto="1"/>
      </font>
      <border outline="0">
        <left style="medium">
          <color indexed="64"/>
        </left>
      </border>
    </odxf>
    <ndxf>
      <font>
        <b val="0"/>
        <sz val="12"/>
        <color auto="1"/>
      </font>
      <border outline="0">
        <left style="thin">
          <color indexed="64"/>
        </left>
      </border>
    </ndxf>
  </rcc>
  <rcc rId="6405" sId="1" odxf="1" dxf="1">
    <oc r="A78">
      <v>1</v>
    </oc>
    <nc r="A78">
      <v>72</v>
    </nc>
    <odxf>
      <border outline="0">
        <left style="thin">
          <color indexed="64"/>
        </left>
      </border>
    </odxf>
    <ndxf>
      <border outline="0">
        <left style="medium">
          <color indexed="64"/>
        </left>
      </border>
    </ndxf>
  </rcc>
  <rcc rId="6406" sId="1" odxf="1" dxf="1">
    <oc r="A79">
      <v>2</v>
    </oc>
    <nc r="A79">
      <v>73</v>
    </nc>
    <odxf>
      <font>
        <b/>
        <sz val="12"/>
        <color auto="1"/>
      </font>
    </odxf>
    <ndxf>
      <font>
        <b val="0"/>
        <sz val="12"/>
        <color auto="1"/>
      </font>
    </ndxf>
  </rcc>
  <rcc rId="6407" sId="1">
    <oc r="A80">
      <v>3</v>
    </oc>
    <nc r="A80">
      <v>74</v>
    </nc>
  </rcc>
  <rcc rId="6408" sId="1" odxf="1" dxf="1">
    <oc r="A81">
      <v>4</v>
    </oc>
    <nc r="A81">
      <v>75</v>
    </nc>
    <odxf>
      <font>
        <b/>
        <sz val="12"/>
        <color auto="1"/>
      </font>
    </odxf>
    <ndxf>
      <font>
        <b val="0"/>
        <sz val="12"/>
        <color auto="1"/>
      </font>
    </ndxf>
  </rcc>
  <rcc rId="6409" sId="1" odxf="1" dxf="1">
    <oc r="A82">
      <v>5</v>
    </oc>
    <nc r="A82">
      <v>76</v>
    </nc>
    <odxf>
      <font>
        <b/>
        <sz val="12"/>
        <color auto="1"/>
      </font>
    </odxf>
    <ndxf>
      <font>
        <b val="0"/>
        <sz val="12"/>
        <color auto="1"/>
      </font>
    </ndxf>
  </rcc>
  <rcc rId="6410" sId="1" odxf="1" dxf="1">
    <oc r="A83">
      <v>6</v>
    </oc>
    <nc r="A83">
      <v>77</v>
    </nc>
    <odxf>
      <font>
        <b/>
        <sz val="12"/>
        <color auto="1"/>
      </font>
      <border outline="0">
        <left style="medium">
          <color indexed="64"/>
        </left>
      </border>
    </odxf>
    <ndxf>
      <font>
        <b val="0"/>
        <sz val="12"/>
        <color auto="1"/>
      </font>
      <border outline="0">
        <left style="thin">
          <color indexed="64"/>
        </left>
      </border>
    </ndxf>
  </rcc>
  <rcc rId="6411" sId="1" odxf="1" dxf="1">
    <oc r="A84">
      <v>7</v>
    </oc>
    <nc r="A84">
      <v>78</v>
    </nc>
    <odxf>
      <font>
        <b/>
        <sz val="12"/>
        <color auto="1"/>
      </font>
    </odxf>
    <ndxf>
      <font>
        <b val="0"/>
        <sz val="12"/>
        <color auto="1"/>
      </font>
    </ndxf>
  </rcc>
  <rcc rId="6412" sId="1">
    <oc r="A85">
      <v>1</v>
    </oc>
    <nc r="A85">
      <v>79</v>
    </nc>
  </rcc>
  <rcc rId="6413" sId="1" odxf="1" dxf="1">
    <oc r="A86">
      <v>2</v>
    </oc>
    <nc r="A86">
      <v>80</v>
    </nc>
    <odxf>
      <font>
        <b/>
        <sz val="12"/>
        <color auto="1"/>
      </font>
      <border outline="0">
        <left style="medium">
          <color indexed="64"/>
        </left>
      </border>
    </odxf>
    <ndxf>
      <font>
        <b val="0"/>
        <sz val="12"/>
        <color auto="1"/>
      </font>
      <border outline="0">
        <left style="thin">
          <color indexed="64"/>
        </left>
      </border>
    </ndxf>
  </rcc>
  <rcc rId="6414" sId="1">
    <oc r="A87">
      <v>1</v>
    </oc>
    <nc r="A87">
      <v>81</v>
    </nc>
  </rcc>
  <rcc rId="6415" sId="1" odxf="1" dxf="1">
    <oc r="A88">
      <v>2</v>
    </oc>
    <nc r="A88">
      <v>82</v>
    </nc>
    <odxf>
      <font>
        <b/>
        <sz val="12"/>
        <color auto="1"/>
      </font>
    </odxf>
    <ndxf>
      <font>
        <b val="0"/>
        <sz val="12"/>
        <color auto="1"/>
      </font>
    </ndxf>
  </rcc>
  <rcc rId="6416" sId="1" odxf="1" dxf="1">
    <oc r="A89">
      <v>3</v>
    </oc>
    <nc r="A89">
      <v>83</v>
    </nc>
    <odxf>
      <font>
        <b/>
        <sz val="12"/>
        <color auto="1"/>
      </font>
      <border outline="0">
        <left/>
      </border>
    </odxf>
    <ndxf>
      <font>
        <b val="0"/>
        <sz val="12"/>
        <color auto="1"/>
      </font>
      <border outline="0">
        <left style="thin">
          <color indexed="64"/>
        </left>
      </border>
    </ndxf>
  </rcc>
  <rcc rId="6417" sId="1">
    <oc r="A90">
      <v>4</v>
    </oc>
    <nc r="A90">
      <v>84</v>
    </nc>
  </rcc>
  <rcc rId="6418" sId="1">
    <oc r="A91">
      <v>1</v>
    </oc>
    <nc r="A91">
      <v>85</v>
    </nc>
  </rcc>
  <rcc rId="6419" sId="1" odxf="1" dxf="1">
    <oc r="A92">
      <v>2</v>
    </oc>
    <nc r="A92">
      <v>86</v>
    </nc>
    <odxf>
      <border outline="0">
        <left style="medium">
          <color indexed="64"/>
        </left>
      </border>
    </odxf>
    <ndxf>
      <border outline="0">
        <left style="thin">
          <color indexed="64"/>
        </left>
      </border>
    </ndxf>
  </rcc>
  <rcc rId="6420" sId="1" odxf="1" dxf="1">
    <oc r="A93">
      <v>3</v>
    </oc>
    <nc r="A93">
      <v>87</v>
    </nc>
    <odxf>
      <font>
        <b/>
        <sz val="12"/>
        <color auto="1"/>
      </font>
    </odxf>
    <ndxf>
      <font>
        <b val="0"/>
        <sz val="12"/>
        <color auto="1"/>
      </font>
    </ndxf>
  </rcc>
  <rcc rId="6421" sId="1" odxf="1" dxf="1">
    <oc r="A94">
      <v>4</v>
    </oc>
    <nc r="A94">
      <v>88</v>
    </nc>
    <odxf>
      <font>
        <b/>
        <sz val="12"/>
        <color auto="1"/>
      </font>
    </odxf>
    <ndxf>
      <font>
        <b val="0"/>
        <sz val="12"/>
        <color auto="1"/>
      </font>
    </ndxf>
  </rcc>
  <rcc rId="6422" sId="1">
    <oc r="A95">
      <v>1</v>
    </oc>
    <nc r="A95">
      <v>89</v>
    </nc>
  </rcc>
  <rcc rId="6423" sId="1" odxf="1" dxf="1">
    <oc r="A96">
      <v>2</v>
    </oc>
    <nc r="A96">
      <v>90</v>
    </nc>
    <odxf>
      <font>
        <b/>
        <sz val="12"/>
        <color auto="1"/>
      </font>
    </odxf>
    <ndxf>
      <font>
        <b val="0"/>
        <sz val="12"/>
        <color auto="1"/>
      </font>
    </ndxf>
  </rcc>
  <rcc rId="6424" sId="1">
    <oc r="A97">
      <v>1</v>
    </oc>
    <nc r="A97">
      <v>91</v>
    </nc>
  </rcc>
  <rcc rId="6425" sId="1" odxf="1" dxf="1">
    <oc r="A98">
      <v>1</v>
    </oc>
    <nc r="A98">
      <v>92</v>
    </nc>
    <odxf>
      <border outline="0">
        <left style="medium">
          <color indexed="64"/>
        </left>
      </border>
    </odxf>
    <ndxf>
      <border outline="0">
        <left style="thin">
          <color indexed="64"/>
        </left>
      </border>
    </ndxf>
  </rcc>
  <rcc rId="6426" sId="1">
    <oc r="A99">
      <v>2</v>
    </oc>
    <nc r="A99">
      <v>93</v>
    </nc>
  </rcc>
  <rcc rId="6427" sId="1">
    <oc r="A100">
      <v>1</v>
    </oc>
    <nc r="A100">
      <v>94</v>
    </nc>
  </rcc>
  <rcc rId="6428" sId="1" odxf="1" dxf="1">
    <oc r="A101">
      <v>2</v>
    </oc>
    <nc r="A101">
      <v>95</v>
    </nc>
    <odxf>
      <font>
        <sz val="12"/>
        <color auto="1"/>
      </font>
      <border outline="0">
        <left style="medium">
          <color indexed="64"/>
        </left>
      </border>
    </odxf>
    <ndxf>
      <font>
        <sz val="12"/>
        <color auto="1"/>
      </font>
      <border outline="0">
        <left style="thin">
          <color indexed="64"/>
        </left>
      </border>
    </ndxf>
  </rcc>
  <rcc rId="6429" sId="1" odxf="1" dxf="1">
    <oc r="A102">
      <v>3</v>
    </oc>
    <nc r="A102">
      <v>96</v>
    </nc>
    <odxf>
      <font>
        <sz val="12"/>
        <color auto="1"/>
      </font>
    </odxf>
    <ndxf>
      <font>
        <sz val="12"/>
        <color auto="1"/>
      </font>
    </ndxf>
  </rcc>
  <rcc rId="6430" sId="1" odxf="1" dxf="1">
    <oc r="A103">
      <v>4</v>
    </oc>
    <nc r="A103">
      <v>97</v>
    </nc>
    <odxf>
      <font>
        <sz val="12"/>
        <color auto="1"/>
      </font>
    </odxf>
    <ndxf>
      <font>
        <sz val="12"/>
        <color auto="1"/>
      </font>
    </ndxf>
  </rcc>
  <rcc rId="6431" sId="1" odxf="1" dxf="1">
    <oc r="A104">
      <v>1</v>
    </oc>
    <nc r="A104">
      <v>98</v>
    </nc>
    <odxf>
      <border outline="0">
        <left style="medium">
          <color indexed="64"/>
        </left>
      </border>
    </odxf>
    <ndxf>
      <border outline="0">
        <left style="thin">
          <color indexed="64"/>
        </left>
      </border>
    </ndxf>
  </rcc>
  <rcc rId="6432" sId="1">
    <oc r="A105">
      <v>2</v>
    </oc>
    <nc r="A105">
      <v>99</v>
    </nc>
  </rcc>
  <rcc rId="6433" sId="1">
    <oc r="A106">
      <v>3</v>
    </oc>
    <nc r="A106">
      <v>100</v>
    </nc>
  </rcc>
  <rcc rId="6434" sId="1" odxf="1" dxf="1">
    <oc r="A107">
      <v>1</v>
    </oc>
    <nc r="A107">
      <v>101</v>
    </nc>
    <odxf>
      <border outline="0">
        <left style="medium">
          <color indexed="64"/>
        </left>
      </border>
    </odxf>
    <ndxf>
      <border outline="0">
        <left style="thin">
          <color indexed="64"/>
        </left>
      </border>
    </ndxf>
  </rcc>
  <rcc rId="6435" sId="1" odxf="1" dxf="1">
    <oc r="A108">
      <v>2</v>
    </oc>
    <nc r="A108">
      <v>102</v>
    </nc>
    <odxf>
      <font>
        <b/>
        <sz val="12"/>
        <color auto="1"/>
      </font>
    </odxf>
    <ndxf>
      <font>
        <b val="0"/>
        <sz val="12"/>
        <color auto="1"/>
      </font>
    </ndxf>
  </rcc>
  <rcc rId="6436" sId="1" odxf="1" dxf="1">
    <oc r="A109">
      <v>3</v>
    </oc>
    <nc r="A109">
      <v>103</v>
    </nc>
    <odxf>
      <font>
        <b/>
        <sz val="12"/>
        <color auto="1"/>
      </font>
    </odxf>
    <ndxf>
      <font>
        <b val="0"/>
        <sz val="12"/>
        <color auto="1"/>
      </font>
    </ndxf>
  </rcc>
  <rcc rId="6437" sId="1" odxf="1" dxf="1">
    <oc r="A110">
      <v>1</v>
    </oc>
    <nc r="A110">
      <v>104</v>
    </nc>
    <odxf>
      <border outline="0">
        <left style="medium">
          <color indexed="64"/>
        </left>
      </border>
    </odxf>
    <ndxf>
      <border outline="0">
        <left style="thin">
          <color indexed="64"/>
        </left>
      </border>
    </ndxf>
  </rcc>
  <rcc rId="6438" sId="1">
    <oc r="A111">
      <v>2</v>
    </oc>
    <nc r="A111">
      <v>105</v>
    </nc>
  </rcc>
  <rcc rId="6439" sId="1" odxf="1" dxf="1">
    <oc r="A112">
      <v>3</v>
    </oc>
    <nc r="A112">
      <v>106</v>
    </nc>
    <odxf>
      <font>
        <sz val="12"/>
        <color auto="1"/>
      </font>
    </odxf>
    <ndxf>
      <font>
        <sz val="12"/>
        <color auto="1"/>
      </font>
    </ndxf>
  </rcc>
  <rcc rId="6440" sId="1" odxf="1" dxf="1">
    <oc r="A113">
      <v>1</v>
    </oc>
    <nc r="A113">
      <v>107</v>
    </nc>
    <odxf>
      <border outline="0">
        <left style="medium">
          <color indexed="64"/>
        </left>
      </border>
    </odxf>
    <ndxf>
      <border outline="0">
        <left style="thin">
          <color indexed="64"/>
        </left>
      </border>
    </ndxf>
  </rcc>
  <rcc rId="6441" sId="1">
    <oc r="A114">
      <v>1</v>
    </oc>
    <nc r="A114">
      <v>108</v>
    </nc>
  </rcc>
  <rcc rId="6442" sId="1">
    <oc r="A115">
      <v>2</v>
    </oc>
    <nc r="A115">
      <v>109</v>
    </nc>
  </rcc>
  <rcc rId="6443" sId="1">
    <oc r="A116">
      <v>1</v>
    </oc>
    <nc r="A116">
      <v>110</v>
    </nc>
  </rcc>
  <rcc rId="6444" sId="1" odxf="1" dxf="1">
    <oc r="A117">
      <v>2</v>
    </oc>
    <nc r="A117">
      <v>111</v>
    </nc>
    <odxf>
      <font>
        <b/>
        <sz val="12"/>
        <color auto="1"/>
      </font>
    </odxf>
    <ndxf>
      <font>
        <b val="0"/>
        <sz val="12"/>
        <color auto="1"/>
      </font>
    </ndxf>
  </rcc>
  <rcc rId="6445" sId="1">
    <oc r="A118">
      <v>1</v>
    </oc>
    <nc r="A118">
      <v>112</v>
    </nc>
  </rcc>
  <rcc rId="6446" sId="1" odxf="1" dxf="1">
    <oc r="A119">
      <v>1</v>
    </oc>
    <nc r="A119">
      <v>113</v>
    </nc>
    <odxf>
      <border outline="0">
        <left style="medium">
          <color indexed="64"/>
        </left>
      </border>
    </odxf>
    <ndxf>
      <border outline="0">
        <left style="thin">
          <color indexed="64"/>
        </left>
      </border>
    </ndxf>
  </rcc>
  <rcc rId="6447" sId="1" odxf="1" dxf="1">
    <oc r="A120">
      <v>2</v>
    </oc>
    <nc r="A120">
      <v>114</v>
    </nc>
    <odxf>
      <font>
        <b/>
        <sz val="12"/>
        <color auto="1"/>
      </font>
    </odxf>
    <ndxf>
      <font>
        <b val="0"/>
        <sz val="12"/>
        <color auto="1"/>
      </font>
    </ndxf>
  </rcc>
  <rcc rId="6448" sId="1" odxf="1" dxf="1">
    <oc r="A121">
      <v>1</v>
    </oc>
    <nc r="A121">
      <v>115</v>
    </nc>
    <odxf>
      <font>
        <b/>
        <sz val="12"/>
        <color auto="1"/>
      </font>
    </odxf>
    <ndxf>
      <font>
        <b val="0"/>
        <sz val="12"/>
        <color auto="1"/>
      </font>
    </ndxf>
  </rcc>
  <rcc rId="6449" sId="1" odxf="1" dxf="1">
    <oc r="A122">
      <v>2</v>
    </oc>
    <nc r="A122">
      <v>116</v>
    </nc>
    <odxf>
      <font>
        <b/>
        <sz val="12"/>
        <color auto="1"/>
      </font>
      <border outline="0">
        <left style="medium">
          <color indexed="64"/>
        </left>
      </border>
    </odxf>
    <ndxf>
      <font>
        <b val="0"/>
        <sz val="12"/>
        <color auto="1"/>
      </font>
      <border outline="0">
        <left style="thin">
          <color indexed="64"/>
        </left>
      </border>
    </ndxf>
  </rcc>
  <rcc rId="6450" sId="1" odxf="1" dxf="1">
    <oc r="A123">
      <v>3</v>
    </oc>
    <nc r="A123">
      <v>117</v>
    </nc>
    <odxf>
      <font>
        <b/>
        <sz val="12"/>
        <color auto="1"/>
      </font>
    </odxf>
    <ndxf>
      <font>
        <b val="0"/>
        <sz val="12"/>
        <color auto="1"/>
      </font>
    </ndxf>
  </rcc>
  <rcc rId="6451" sId="1">
    <oc r="A124">
      <v>1</v>
    </oc>
    <nc r="A124">
      <v>118</v>
    </nc>
  </rcc>
  <rcc rId="6452" sId="1" odxf="1" dxf="1">
    <oc r="A125">
      <v>2</v>
    </oc>
    <nc r="A125">
      <v>119</v>
    </nc>
    <odxf>
      <font>
        <b/>
        <sz val="12"/>
        <color auto="1"/>
      </font>
      <border outline="0">
        <left style="medium">
          <color indexed="64"/>
        </left>
      </border>
    </odxf>
    <ndxf>
      <font>
        <b val="0"/>
        <sz val="12"/>
        <color auto="1"/>
      </font>
      <border outline="0">
        <left style="thin">
          <color indexed="64"/>
        </left>
      </border>
    </ndxf>
  </rcc>
  <rcc rId="6453" sId="1">
    <oc r="A126">
      <v>1</v>
    </oc>
    <nc r="A126">
      <v>120</v>
    </nc>
  </rcc>
  <rcc rId="6454" sId="1" odxf="1" dxf="1">
    <oc r="A127">
      <v>2</v>
    </oc>
    <nc r="A127">
      <v>121</v>
    </nc>
    <odxf>
      <font>
        <sz val="12"/>
        <color auto="1"/>
      </font>
    </odxf>
    <ndxf>
      <font>
        <sz val="12"/>
        <color auto="1"/>
      </font>
    </ndxf>
  </rcc>
  <rcc rId="6455" sId="1" odxf="1" dxf="1">
    <oc r="A128">
      <v>1</v>
    </oc>
    <nc r="A128">
      <v>122</v>
    </nc>
    <odxf>
      <border outline="0">
        <left style="medium">
          <color indexed="64"/>
        </left>
      </border>
    </odxf>
    <ndxf>
      <border outline="0">
        <left style="thin">
          <color indexed="64"/>
        </left>
      </border>
    </ndxf>
  </rcc>
  <rcc rId="6456" sId="1">
    <oc r="A129">
      <v>2</v>
    </oc>
    <nc r="A129">
      <v>123</v>
    </nc>
  </rcc>
  <rcc rId="6457" sId="1">
    <oc r="A130">
      <v>3</v>
    </oc>
    <nc r="A130">
      <v>124</v>
    </nc>
  </rcc>
  <rcc rId="6458" sId="1" odxf="1" dxf="1">
    <oc r="A131">
      <v>4</v>
    </oc>
    <nc r="A131">
      <v>125</v>
    </nc>
    <odxf>
      <border outline="0">
        <left style="medium">
          <color indexed="64"/>
        </left>
      </border>
    </odxf>
    <ndxf>
      <border outline="0">
        <left style="thin">
          <color indexed="64"/>
        </left>
      </border>
    </ndxf>
  </rcc>
  <rcc rId="6459" sId="1">
    <oc r="A132">
      <v>5</v>
    </oc>
    <nc r="A132">
      <v>126</v>
    </nc>
  </rcc>
  <rcc rId="6460" sId="1">
    <oc r="A133">
      <v>6</v>
    </oc>
    <nc r="A133">
      <v>127</v>
    </nc>
  </rcc>
  <rcc rId="6461" sId="1" odxf="1" dxf="1">
    <oc r="A134">
      <v>1</v>
    </oc>
    <nc r="A134">
      <v>128</v>
    </nc>
    <odxf>
      <border outline="0">
        <left style="medium">
          <color indexed="64"/>
        </left>
      </border>
    </odxf>
    <ndxf>
      <border outline="0">
        <left style="thin">
          <color indexed="64"/>
        </left>
      </border>
    </ndxf>
  </rcc>
  <rcc rId="6462" sId="1">
    <oc r="A135">
      <v>2</v>
    </oc>
    <nc r="A135">
      <v>129</v>
    </nc>
  </rcc>
  <rcc rId="6463" sId="1">
    <oc r="A136">
      <v>1</v>
    </oc>
    <nc r="A136">
      <v>130</v>
    </nc>
  </rcc>
  <rcc rId="6464" sId="1" odxf="1" dxf="1">
    <oc r="A137">
      <v>2</v>
    </oc>
    <nc r="A137">
      <v>131</v>
    </nc>
    <odxf>
      <border outline="0">
        <left style="medium">
          <color indexed="64"/>
        </left>
      </border>
    </odxf>
    <ndxf>
      <border outline="0">
        <left style="thin">
          <color indexed="64"/>
        </left>
      </border>
    </ndxf>
  </rcc>
  <rcc rId="6465" sId="1">
    <oc r="A138">
      <v>3</v>
    </oc>
    <nc r="A138">
      <v>132</v>
    </nc>
  </rcc>
  <rcc rId="6466" sId="1">
    <oc r="A139">
      <v>4</v>
    </oc>
    <nc r="A139">
      <v>133</v>
    </nc>
  </rcc>
  <rcc rId="6467" sId="1" odxf="1" dxf="1">
    <oc r="A140">
      <v>5</v>
    </oc>
    <nc r="A140">
      <v>134</v>
    </nc>
    <odxf>
      <border outline="0">
        <left style="medium">
          <color indexed="64"/>
        </left>
      </border>
    </odxf>
    <ndxf>
      <border outline="0">
        <left style="thin">
          <color indexed="64"/>
        </left>
      </border>
    </ndxf>
  </rcc>
  <rcc rId="6468" sId="1">
    <oc r="A141">
      <v>6</v>
    </oc>
    <nc r="A141">
      <v>135</v>
    </nc>
  </rcc>
  <rcc rId="6469" sId="1">
    <oc r="A142">
      <v>7</v>
    </oc>
    <nc r="A142">
      <v>136</v>
    </nc>
  </rcc>
  <rcc rId="6470" sId="1" odxf="1" dxf="1">
    <oc r="A143">
      <v>8</v>
    </oc>
    <nc r="A143">
      <v>137</v>
    </nc>
    <odxf>
      <border outline="0">
        <left style="medium">
          <color indexed="64"/>
        </left>
      </border>
    </odxf>
    <ndxf>
      <border outline="0">
        <left style="thin">
          <color indexed="64"/>
        </left>
      </border>
    </ndxf>
  </rcc>
  <rcc rId="6471" sId="1">
    <oc r="A144">
      <v>9</v>
    </oc>
    <nc r="A144">
      <v>138</v>
    </nc>
  </rcc>
  <rcc rId="6472" sId="1">
    <oc r="A145">
      <v>10</v>
    </oc>
    <nc r="A145">
      <v>139</v>
    </nc>
  </rcc>
  <rcc rId="6473" sId="1" odxf="1" dxf="1">
    <oc r="A146">
      <v>11</v>
    </oc>
    <nc r="A146">
      <v>140</v>
    </nc>
    <odxf>
      <border outline="0">
        <left style="medium">
          <color indexed="64"/>
        </left>
      </border>
    </odxf>
    <ndxf>
      <border outline="0">
        <left style="thin">
          <color indexed="64"/>
        </left>
      </border>
    </ndxf>
  </rcc>
  <rcc rId="6474" sId="1">
    <oc r="A147">
      <v>12</v>
    </oc>
    <nc r="A147">
      <v>141</v>
    </nc>
  </rcc>
  <rcc rId="6475" sId="1">
    <oc r="A148">
      <v>13</v>
    </oc>
    <nc r="A148">
      <v>142</v>
    </nc>
  </rcc>
  <rcc rId="6476" sId="1" odxf="1" dxf="1">
    <oc r="A149">
      <v>14</v>
    </oc>
    <nc r="A149">
      <v>143</v>
    </nc>
    <odxf>
      <border outline="0">
        <left style="medium">
          <color indexed="64"/>
        </left>
      </border>
    </odxf>
    <ndxf>
      <border outline="0">
        <left style="thin">
          <color indexed="64"/>
        </left>
      </border>
    </ndxf>
  </rcc>
  <rcc rId="6477" sId="1">
    <oc r="A150">
      <v>15</v>
    </oc>
    <nc r="A150">
      <v>144</v>
    </nc>
  </rcc>
  <rcc rId="6478" sId="1">
    <oc r="A151">
      <v>16</v>
    </oc>
    <nc r="A151">
      <v>145</v>
    </nc>
  </rcc>
  <rcc rId="6479" sId="1" odxf="1" dxf="1">
    <oc r="A152">
      <v>17</v>
    </oc>
    <nc r="A152">
      <v>146</v>
    </nc>
    <odxf>
      <border outline="0">
        <left style="medium">
          <color indexed="64"/>
        </left>
      </border>
    </odxf>
    <ndxf>
      <border outline="0">
        <left style="thin">
          <color indexed="64"/>
        </left>
      </border>
    </ndxf>
  </rcc>
  <rcc rId="6480" sId="1">
    <oc r="A153">
      <v>18</v>
    </oc>
    <nc r="A153">
      <v>147</v>
    </nc>
  </rcc>
  <rcc rId="6481" sId="1">
    <oc r="A154">
      <v>19</v>
    </oc>
    <nc r="A154">
      <v>148</v>
    </nc>
  </rcc>
  <rcc rId="6482" sId="1" odxf="1" dxf="1">
    <oc r="A155">
      <v>20</v>
    </oc>
    <nc r="A155">
      <v>149</v>
    </nc>
    <odxf>
      <border outline="0">
        <left style="medium">
          <color indexed="64"/>
        </left>
      </border>
    </odxf>
    <ndxf>
      <border outline="0">
        <left style="thin">
          <color indexed="64"/>
        </left>
      </border>
    </ndxf>
  </rcc>
  <rcc rId="6483" sId="1">
    <oc r="A156">
      <v>21</v>
    </oc>
    <nc r="A156">
      <v>150</v>
    </nc>
  </rcc>
  <rcc rId="6484" sId="1">
    <oc r="A157">
      <v>22</v>
    </oc>
    <nc r="A157">
      <v>151</v>
    </nc>
  </rcc>
  <rcc rId="6485" sId="1" odxf="1" dxf="1">
    <oc r="A158">
      <v>23</v>
    </oc>
    <nc r="A158">
      <v>152</v>
    </nc>
    <odxf>
      <border outline="0">
        <left style="medium">
          <color indexed="64"/>
        </left>
      </border>
    </odxf>
    <ndxf>
      <border outline="0">
        <left style="thin">
          <color indexed="64"/>
        </left>
      </border>
    </ndxf>
  </rcc>
  <rcc rId="6486" sId="1">
    <oc r="A159">
      <v>24</v>
    </oc>
    <nc r="A159">
      <v>153</v>
    </nc>
  </rcc>
  <rcc rId="6487" sId="1">
    <oc r="A160">
      <v>25</v>
    </oc>
    <nc r="A160">
      <v>154</v>
    </nc>
  </rcc>
  <rcc rId="6488" sId="1" odxf="1" dxf="1">
    <oc r="A161">
      <v>26</v>
    </oc>
    <nc r="A161">
      <v>155</v>
    </nc>
    <odxf>
      <border outline="0">
        <left style="medium">
          <color indexed="64"/>
        </left>
      </border>
    </odxf>
    <ndxf>
      <border outline="0">
        <left style="thin">
          <color indexed="64"/>
        </left>
      </border>
    </ndxf>
  </rcc>
  <rcc rId="6489" sId="1">
    <oc r="A162">
      <v>27</v>
    </oc>
    <nc r="A162">
      <v>156</v>
    </nc>
  </rcc>
  <rcc rId="6490" sId="1">
    <oc r="A163">
      <v>28</v>
    </oc>
    <nc r="A163">
      <v>157</v>
    </nc>
  </rcc>
  <rcc rId="6491" sId="1" odxf="1" dxf="1">
    <oc r="A164">
      <v>29</v>
    </oc>
    <nc r="A164">
      <v>158</v>
    </nc>
    <odxf>
      <border outline="0">
        <left style="medium">
          <color indexed="64"/>
        </left>
      </border>
    </odxf>
    <ndxf>
      <border outline="0">
        <left style="thin">
          <color indexed="64"/>
        </left>
      </border>
    </ndxf>
  </rcc>
  <rcc rId="6492" sId="1">
    <oc r="A165">
      <v>30</v>
    </oc>
    <nc r="A165">
      <v>159</v>
    </nc>
  </rcc>
  <rcc rId="6493" sId="1">
    <oc r="A166">
      <v>31</v>
    </oc>
    <nc r="A166">
      <v>160</v>
    </nc>
  </rcc>
  <rcc rId="6494" sId="1" odxf="1" dxf="1">
    <oc r="A167">
      <v>32</v>
    </oc>
    <nc r="A167">
      <v>161</v>
    </nc>
    <odxf>
      <border outline="0">
        <left style="medium">
          <color indexed="64"/>
        </left>
      </border>
    </odxf>
    <ndxf>
      <border outline="0">
        <left style="thin">
          <color indexed="64"/>
        </left>
      </border>
    </ndxf>
  </rcc>
  <rcc rId="6495" sId="1">
    <oc r="A168">
      <v>33</v>
    </oc>
    <nc r="A168">
      <v>162</v>
    </nc>
  </rcc>
  <rcc rId="6496" sId="1">
    <oc r="A169">
      <v>34</v>
    </oc>
    <nc r="A169">
      <v>163</v>
    </nc>
  </rcc>
  <rcc rId="6497" sId="1" odxf="1" dxf="1">
    <oc r="A170">
      <v>35</v>
    </oc>
    <nc r="A170">
      <v>164</v>
    </nc>
    <odxf>
      <border outline="0">
        <left style="medium">
          <color indexed="64"/>
        </left>
      </border>
    </odxf>
    <ndxf>
      <border outline="0">
        <left style="thin">
          <color indexed="64"/>
        </left>
      </border>
    </ndxf>
  </rcc>
  <rcc rId="6498" sId="1">
    <oc r="A171">
      <v>36</v>
    </oc>
    <nc r="A171">
      <v>165</v>
    </nc>
  </rcc>
  <rcc rId="6499" sId="1">
    <oc r="A172">
      <v>37</v>
    </oc>
    <nc r="A172">
      <v>166</v>
    </nc>
  </rcc>
  <rcc rId="6500" sId="1" odxf="1" dxf="1">
    <oc r="A173">
      <v>38</v>
    </oc>
    <nc r="A173">
      <v>167</v>
    </nc>
    <odxf>
      <border outline="0">
        <left style="medium">
          <color indexed="64"/>
        </left>
      </border>
    </odxf>
    <ndxf>
      <border outline="0">
        <left style="thin">
          <color indexed="64"/>
        </left>
      </border>
    </ndxf>
  </rcc>
  <rcc rId="6501" sId="1">
    <oc r="A174">
      <v>39</v>
    </oc>
    <nc r="A174">
      <v>168</v>
    </nc>
  </rcc>
  <rcc rId="6502" sId="1">
    <oc r="A175">
      <v>40</v>
    </oc>
    <nc r="A175">
      <v>169</v>
    </nc>
  </rcc>
  <rcc rId="6503" sId="1" odxf="1" dxf="1">
    <oc r="A176">
      <v>41</v>
    </oc>
    <nc r="A176">
      <v>170</v>
    </nc>
    <odxf>
      <border outline="0">
        <left style="medium">
          <color indexed="64"/>
        </left>
      </border>
    </odxf>
    <ndxf>
      <border outline="0">
        <left style="thin">
          <color indexed="64"/>
        </left>
      </border>
    </ndxf>
  </rcc>
  <rcc rId="6504" sId="1">
    <oc r="A177">
      <v>42</v>
    </oc>
    <nc r="A177">
      <v>171</v>
    </nc>
  </rcc>
  <rcc rId="6505" sId="1">
    <oc r="A178">
      <v>43</v>
    </oc>
    <nc r="A178">
      <v>172</v>
    </nc>
  </rcc>
  <rcc rId="6506" sId="1" odxf="1" dxf="1">
    <oc r="A179">
      <v>44</v>
    </oc>
    <nc r="A179">
      <v>173</v>
    </nc>
    <odxf>
      <border outline="0">
        <left style="medium">
          <color indexed="64"/>
        </left>
      </border>
    </odxf>
    <ndxf>
      <border outline="0">
        <left style="thin">
          <color indexed="64"/>
        </left>
      </border>
    </ndxf>
  </rcc>
  <rcc rId="6507" sId="1">
    <oc r="A180">
      <v>45</v>
    </oc>
    <nc r="A180">
      <v>174</v>
    </nc>
  </rcc>
  <rcc rId="6508" sId="1">
    <oc r="A181">
      <v>46</v>
    </oc>
    <nc r="A181">
      <v>175</v>
    </nc>
  </rcc>
  <rcc rId="6509" sId="1" odxf="1" dxf="1">
    <oc r="A182">
      <v>47</v>
    </oc>
    <nc r="A182">
      <v>176</v>
    </nc>
    <odxf>
      <border outline="0">
        <left style="medium">
          <color indexed="64"/>
        </left>
      </border>
    </odxf>
    <ndxf>
      <border outline="0">
        <left style="thin">
          <color indexed="64"/>
        </left>
      </border>
    </ndxf>
  </rcc>
  <rcc rId="6510" sId="1">
    <oc r="A183">
      <v>48</v>
    </oc>
    <nc r="A183">
      <v>177</v>
    </nc>
  </rcc>
  <rcc rId="6511" sId="1">
    <oc r="A184">
      <v>49</v>
    </oc>
    <nc r="A184">
      <v>178</v>
    </nc>
  </rcc>
  <rcc rId="6512" sId="1" odxf="1" dxf="1">
    <oc r="A185">
      <v>50</v>
    </oc>
    <nc r="A185">
      <v>179</v>
    </nc>
    <odxf>
      <border outline="0">
        <left style="medium">
          <color indexed="64"/>
        </left>
      </border>
    </odxf>
    <ndxf>
      <border outline="0">
        <left style="thin">
          <color indexed="64"/>
        </left>
      </border>
    </ndxf>
  </rcc>
  <rcc rId="6513" sId="1">
    <oc r="A186">
      <v>51</v>
    </oc>
    <nc r="A186">
      <v>180</v>
    </nc>
  </rcc>
  <rcc rId="6514" sId="1">
    <oc r="A187">
      <v>52</v>
    </oc>
    <nc r="A187">
      <v>181</v>
    </nc>
  </rcc>
  <rcc rId="6515" sId="1" odxf="1" dxf="1">
    <oc r="A188">
      <v>53</v>
    </oc>
    <nc r="A188">
      <v>182</v>
    </nc>
    <odxf>
      <border outline="0">
        <left style="medium">
          <color indexed="64"/>
        </left>
      </border>
    </odxf>
    <ndxf>
      <border outline="0">
        <left style="thin">
          <color indexed="64"/>
        </left>
      </border>
    </ndxf>
  </rcc>
  <rcc rId="6516" sId="1">
    <oc r="A189">
      <v>54</v>
    </oc>
    <nc r="A189">
      <v>183</v>
    </nc>
  </rcc>
  <rcc rId="6517" sId="1">
    <oc r="A190">
      <v>55</v>
    </oc>
    <nc r="A190">
      <v>184</v>
    </nc>
  </rcc>
  <rcc rId="6518" sId="1" odxf="1" dxf="1">
    <oc r="A191">
      <v>56</v>
    </oc>
    <nc r="A191">
      <v>185</v>
    </nc>
    <odxf>
      <border outline="0">
        <left style="medium">
          <color indexed="64"/>
        </left>
      </border>
    </odxf>
    <ndxf>
      <border outline="0">
        <left style="thin">
          <color indexed="64"/>
        </left>
      </border>
    </ndxf>
  </rcc>
  <rcc rId="6519" sId="1">
    <oc r="A192">
      <v>57</v>
    </oc>
    <nc r="A192">
      <v>186</v>
    </nc>
  </rcc>
  <rcc rId="6520" sId="1">
    <oc r="A193">
      <v>58</v>
    </oc>
    <nc r="A193">
      <v>187</v>
    </nc>
  </rcc>
  <rcc rId="6521" sId="1" odxf="1" dxf="1">
    <oc r="A194">
      <v>59</v>
    </oc>
    <nc r="A194">
      <v>188</v>
    </nc>
    <odxf>
      <border outline="0">
        <left style="medium">
          <color indexed="64"/>
        </left>
      </border>
    </odxf>
    <ndxf>
      <border outline="0">
        <left style="thin">
          <color indexed="64"/>
        </left>
      </border>
    </ndxf>
  </rcc>
  <rcc rId="6522" sId="1">
    <oc r="A195">
      <v>60</v>
    </oc>
    <nc r="A195">
      <v>189</v>
    </nc>
  </rcc>
  <rcc rId="6523" sId="1">
    <oc r="A196">
      <v>61</v>
    </oc>
    <nc r="A196">
      <v>190</v>
    </nc>
  </rcc>
  <rcc rId="6524" sId="1" odxf="1" dxf="1">
    <oc r="A197">
      <v>62</v>
    </oc>
    <nc r="A197">
      <v>191</v>
    </nc>
    <odxf>
      <border outline="0">
        <left style="medium">
          <color indexed="64"/>
        </left>
      </border>
    </odxf>
    <ndxf>
      <border outline="0">
        <left style="thin">
          <color indexed="64"/>
        </left>
      </border>
    </ndxf>
  </rcc>
  <rcc rId="6525" sId="1">
    <oc r="A198">
      <v>63</v>
    </oc>
    <nc r="A198">
      <v>192</v>
    </nc>
  </rcc>
  <rcc rId="6526" sId="1">
    <oc r="A199">
      <v>64</v>
    </oc>
    <nc r="A199">
      <v>193</v>
    </nc>
  </rcc>
  <rcc rId="6527" sId="1" odxf="1" dxf="1">
    <oc r="A200">
      <v>65</v>
    </oc>
    <nc r="A200">
      <v>194</v>
    </nc>
    <odxf>
      <border outline="0">
        <left style="medium">
          <color indexed="64"/>
        </left>
      </border>
    </odxf>
    <ndxf>
      <border outline="0">
        <left style="thin">
          <color indexed="64"/>
        </left>
      </border>
    </ndxf>
  </rcc>
  <rcc rId="6528" sId="1">
    <oc r="A201">
      <v>66</v>
    </oc>
    <nc r="A201">
      <v>195</v>
    </nc>
  </rcc>
  <rcc rId="6529" sId="1">
    <oc r="A202">
      <v>67</v>
    </oc>
    <nc r="A202">
      <v>196</v>
    </nc>
  </rcc>
  <rcc rId="6530" sId="1" odxf="1" dxf="1">
    <oc r="A203">
      <v>68</v>
    </oc>
    <nc r="A203">
      <v>197</v>
    </nc>
    <odxf>
      <border outline="0">
        <left style="medium">
          <color indexed="64"/>
        </left>
      </border>
    </odxf>
    <ndxf>
      <border outline="0">
        <left style="thin">
          <color indexed="64"/>
        </left>
      </border>
    </ndxf>
  </rcc>
  <rcc rId="6531" sId="1">
    <oc r="A204">
      <v>69</v>
    </oc>
    <nc r="A204">
      <v>198</v>
    </nc>
  </rcc>
  <rcc rId="6532" sId="1">
    <oc r="A205">
      <v>70</v>
    </oc>
    <nc r="A205">
      <v>199</v>
    </nc>
  </rcc>
  <rcc rId="6533" sId="1" odxf="1" dxf="1">
    <oc r="A206">
      <v>71</v>
    </oc>
    <nc r="A206">
      <v>200</v>
    </nc>
    <odxf>
      <border outline="0">
        <left style="medium">
          <color indexed="64"/>
        </left>
      </border>
    </odxf>
    <ndxf>
      <border outline="0">
        <left style="thin">
          <color indexed="64"/>
        </left>
      </border>
    </ndxf>
  </rcc>
  <rcc rId="6534" sId="1">
    <oc r="A207">
      <v>72</v>
    </oc>
    <nc r="A207">
      <v>201</v>
    </nc>
  </rcc>
  <rcc rId="6535" sId="1">
    <oc r="A208">
      <v>73</v>
    </oc>
    <nc r="A208">
      <v>202</v>
    </nc>
  </rcc>
  <rcc rId="6536" sId="1" odxf="1" dxf="1">
    <oc r="A209">
      <v>74</v>
    </oc>
    <nc r="A209">
      <v>203</v>
    </nc>
    <odxf>
      <border outline="0">
        <left style="medium">
          <color indexed="64"/>
        </left>
      </border>
    </odxf>
    <ndxf>
      <border outline="0">
        <left style="thin">
          <color indexed="64"/>
        </left>
      </border>
    </ndxf>
  </rcc>
  <rcc rId="6537" sId="1">
    <oc r="A210">
      <v>75</v>
    </oc>
    <nc r="A210">
      <v>204</v>
    </nc>
  </rcc>
  <rcc rId="6538" sId="1">
    <oc r="A211">
      <v>76</v>
    </oc>
    <nc r="A211">
      <v>205</v>
    </nc>
  </rcc>
  <rcc rId="6539" sId="1" odxf="1" dxf="1">
    <oc r="A212">
      <v>77</v>
    </oc>
    <nc r="A212">
      <v>206</v>
    </nc>
    <odxf>
      <border outline="0">
        <left style="medium">
          <color indexed="64"/>
        </left>
      </border>
    </odxf>
    <ndxf>
      <border outline="0">
        <left style="thin">
          <color indexed="64"/>
        </left>
      </border>
    </ndxf>
  </rcc>
  <rcc rId="6540" sId="1">
    <oc r="A213">
      <v>78</v>
    </oc>
    <nc r="A213">
      <v>207</v>
    </nc>
  </rcc>
  <rcc rId="6541" sId="1">
    <oc r="A214">
      <v>79</v>
    </oc>
    <nc r="A214">
      <v>208</v>
    </nc>
  </rcc>
  <rcc rId="6542" sId="1" odxf="1" dxf="1">
    <oc r="A215">
      <v>80</v>
    </oc>
    <nc r="A215">
      <v>209</v>
    </nc>
    <odxf>
      <border outline="0">
        <left style="medium">
          <color indexed="64"/>
        </left>
      </border>
    </odxf>
    <ndxf>
      <border outline="0">
        <left style="thin">
          <color indexed="64"/>
        </left>
      </border>
    </ndxf>
  </rcc>
  <rcc rId="6543" sId="1">
    <oc r="A216">
      <v>81</v>
    </oc>
    <nc r="A216">
      <v>210</v>
    </nc>
  </rcc>
  <rcc rId="6544" sId="1">
    <oc r="A217">
      <v>82</v>
    </oc>
    <nc r="A217">
      <v>211</v>
    </nc>
  </rcc>
  <rcc rId="6545" sId="1" odxf="1" dxf="1">
    <oc r="A218">
      <v>83</v>
    </oc>
    <nc r="A218">
      <v>212</v>
    </nc>
    <odxf>
      <border outline="0">
        <left style="medium">
          <color indexed="64"/>
        </left>
      </border>
    </odxf>
    <ndxf>
      <border outline="0">
        <left style="thin">
          <color indexed="64"/>
        </left>
      </border>
    </ndxf>
  </rcc>
  <rcc rId="6546" sId="1">
    <oc r="A219">
      <v>84</v>
    </oc>
    <nc r="A219">
      <v>213</v>
    </nc>
  </rcc>
  <rcc rId="6547" sId="1">
    <oc r="A220">
      <v>85</v>
    </oc>
    <nc r="A220">
      <v>214</v>
    </nc>
  </rcc>
  <rcc rId="6548" sId="1" odxf="1" dxf="1">
    <oc r="A221">
      <v>86</v>
    </oc>
    <nc r="A221">
      <v>215</v>
    </nc>
    <odxf>
      <border outline="0">
        <left style="medium">
          <color indexed="64"/>
        </left>
      </border>
    </odxf>
    <ndxf>
      <border outline="0">
        <left style="thin">
          <color indexed="64"/>
        </left>
      </border>
    </ndxf>
  </rcc>
  <rcc rId="6549" sId="1">
    <oc r="A222">
      <v>87</v>
    </oc>
    <nc r="A222">
      <v>216</v>
    </nc>
  </rcc>
  <rcc rId="6550" sId="1">
    <oc r="A223">
      <v>88</v>
    </oc>
    <nc r="A223">
      <v>217</v>
    </nc>
  </rcc>
  <rcc rId="6551" sId="1" odxf="1" dxf="1">
    <oc r="A224">
      <v>89</v>
    </oc>
    <nc r="A224">
      <v>218</v>
    </nc>
    <odxf>
      <border outline="0">
        <left style="medium">
          <color indexed="64"/>
        </left>
      </border>
    </odxf>
    <ndxf>
      <border outline="0">
        <left style="thin">
          <color indexed="64"/>
        </left>
      </border>
    </ndxf>
  </rcc>
  <rcc rId="6552" sId="1">
    <oc r="A225">
      <v>90</v>
    </oc>
    <nc r="A225">
      <v>219</v>
    </nc>
  </rcc>
  <rcc rId="6553" sId="1">
    <oc r="A226">
      <v>91</v>
    </oc>
    <nc r="A226">
      <v>220</v>
    </nc>
  </rcc>
  <rcc rId="6554" sId="1" odxf="1" dxf="1">
    <oc r="A227">
      <v>92</v>
    </oc>
    <nc r="A227">
      <v>221</v>
    </nc>
    <odxf>
      <border outline="0">
        <left style="medium">
          <color indexed="64"/>
        </left>
      </border>
    </odxf>
    <ndxf>
      <border outline="0">
        <left style="thin">
          <color indexed="64"/>
        </left>
      </border>
    </ndxf>
  </rcc>
  <rcc rId="6555" sId="1">
    <oc r="A228">
      <v>93</v>
    </oc>
    <nc r="A228">
      <v>222</v>
    </nc>
  </rcc>
  <rcc rId="6556" sId="1">
    <oc r="A229">
      <v>94</v>
    </oc>
    <nc r="A229">
      <v>223</v>
    </nc>
  </rcc>
  <rcc rId="6557" sId="1" odxf="1" dxf="1">
    <oc r="A230">
      <v>95</v>
    </oc>
    <nc r="A230">
      <v>224</v>
    </nc>
    <odxf>
      <border outline="0">
        <left style="medium">
          <color indexed="64"/>
        </left>
      </border>
    </odxf>
    <ndxf>
      <border outline="0">
        <left style="thin">
          <color indexed="64"/>
        </left>
      </border>
    </ndxf>
  </rcc>
  <rcc rId="6558" sId="1">
    <oc r="A231">
      <v>96</v>
    </oc>
    <nc r="A231">
      <v>225</v>
    </nc>
  </rcc>
  <rcc rId="6559" sId="1">
    <oc r="A232">
      <v>97</v>
    </oc>
    <nc r="A232">
      <v>226</v>
    </nc>
  </rcc>
  <rcc rId="6560" sId="1" odxf="1" dxf="1">
    <oc r="A233">
      <v>98</v>
    </oc>
    <nc r="A233">
      <v>227</v>
    </nc>
    <odxf>
      <border outline="0">
        <left style="medium">
          <color indexed="64"/>
        </left>
      </border>
    </odxf>
    <ndxf>
      <border outline="0">
        <left style="thin">
          <color indexed="64"/>
        </left>
      </border>
    </ndxf>
  </rcc>
  <rcc rId="6561" sId="1">
    <oc r="A234">
      <v>99</v>
    </oc>
    <nc r="A234">
      <v>228</v>
    </nc>
  </rcc>
  <rcc rId="6562" sId="1">
    <oc r="A235">
      <v>100</v>
    </oc>
    <nc r="A235">
      <v>229</v>
    </nc>
  </rcc>
  <rcc rId="6563" sId="1" odxf="1" dxf="1">
    <oc r="A236">
      <v>101</v>
    </oc>
    <nc r="A236">
      <v>230</v>
    </nc>
    <odxf>
      <border outline="0">
        <left style="medium">
          <color indexed="64"/>
        </left>
      </border>
    </odxf>
    <ndxf>
      <border outline="0">
        <left style="thin">
          <color indexed="64"/>
        </left>
      </border>
    </ndxf>
  </rcc>
  <rcc rId="6564" sId="1">
    <oc r="A237">
      <v>102</v>
    </oc>
    <nc r="A237">
      <v>231</v>
    </nc>
  </rcc>
  <rcc rId="6565" sId="1">
    <oc r="A238">
      <v>103</v>
    </oc>
    <nc r="A238">
      <v>232</v>
    </nc>
  </rcc>
  <rcc rId="6566" sId="1" odxf="1" s="1" dxf="1">
    <oc r="A239">
      <v>104</v>
    </oc>
    <nc r="A239">
      <v>233</v>
    </nc>
    <odxf>
      <font>
        <b val="0"/>
        <i val="0"/>
        <strike val="0"/>
        <condense val="0"/>
        <extend val="0"/>
        <outline val="0"/>
        <shadow val="0"/>
        <u val="none"/>
        <vertAlign val="baseline"/>
        <sz val="12"/>
        <color auto="1"/>
        <name val="Calibri"/>
        <family val="2"/>
        <charset val="238"/>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1" hidden="0"/>
    </odxf>
    <ndxf>
      <border outline="0">
        <left style="thin">
          <color indexed="64"/>
        </left>
      </border>
    </ndxf>
  </rcc>
  <rcc rId="6567" sId="1">
    <oc r="A240">
      <v>105</v>
    </oc>
    <nc r="A240">
      <v>234</v>
    </nc>
  </rcc>
  <rcc rId="6568" sId="1">
    <oc r="A241">
      <v>106</v>
    </oc>
    <nc r="A241">
      <v>235</v>
    </nc>
  </rcc>
  <rcc rId="6569" sId="1" odxf="1" dxf="1">
    <oc r="A242">
      <v>107</v>
    </oc>
    <nc r="A242">
      <v>236</v>
    </nc>
    <odxf>
      <border outline="0">
        <left style="medium">
          <color indexed="64"/>
        </left>
      </border>
    </odxf>
    <ndxf>
      <border outline="0">
        <left style="thin">
          <color indexed="64"/>
        </left>
      </border>
    </ndxf>
  </rcc>
  <rcc rId="6570" sId="1">
    <oc r="A243">
      <v>108</v>
    </oc>
    <nc r="A243">
      <v>237</v>
    </nc>
  </rcc>
  <rcc rId="6571" sId="1">
    <oc r="A244">
      <v>109</v>
    </oc>
    <nc r="A244">
      <v>238</v>
    </nc>
  </rcc>
  <rcc rId="6572" sId="1" odxf="1" dxf="1">
    <oc r="A245">
      <v>110</v>
    </oc>
    <nc r="A245">
      <v>239</v>
    </nc>
    <odxf>
      <border outline="0">
        <left style="medium">
          <color indexed="64"/>
        </left>
      </border>
    </odxf>
    <ndxf>
      <border outline="0">
        <left style="thin">
          <color indexed="64"/>
        </left>
      </border>
    </ndxf>
  </rcc>
  <rcc rId="6573" sId="1">
    <oc r="A246">
      <v>111</v>
    </oc>
    <nc r="A246">
      <v>240</v>
    </nc>
  </rcc>
  <rcc rId="6574" sId="1">
    <oc r="A247">
      <v>112</v>
    </oc>
    <nc r="A247">
      <v>241</v>
    </nc>
  </rcc>
  <rcc rId="6575" sId="1" odxf="1" dxf="1">
    <oc r="A248">
      <v>113</v>
    </oc>
    <nc r="A248">
      <v>242</v>
    </nc>
    <odxf>
      <border outline="0">
        <left style="medium">
          <color indexed="64"/>
        </left>
      </border>
    </odxf>
    <ndxf>
      <border outline="0">
        <left style="thin">
          <color indexed="64"/>
        </left>
      </border>
    </ndxf>
  </rcc>
  <rcc rId="6576" sId="1">
    <oc r="A249">
      <v>115</v>
    </oc>
    <nc r="A249">
      <v>243</v>
    </nc>
  </rcc>
  <rcc rId="6577" sId="1">
    <oc r="A250">
      <v>116</v>
    </oc>
    <nc r="A250">
      <v>244</v>
    </nc>
  </rcc>
  <rcc rId="6578" sId="1" odxf="1" dxf="1">
    <oc r="A251">
      <v>117</v>
    </oc>
    <nc r="A251">
      <v>245</v>
    </nc>
    <odxf>
      <border outline="0">
        <left style="medium">
          <color indexed="64"/>
        </left>
      </border>
    </odxf>
    <ndxf>
      <border outline="0">
        <left style="thin">
          <color indexed="64"/>
        </left>
      </border>
    </ndxf>
  </rcc>
  <rcc rId="6579" sId="1">
    <oc r="A252">
      <v>118</v>
    </oc>
    <nc r="A252">
      <v>246</v>
    </nc>
  </rcc>
  <rcc rId="6580" sId="1">
    <oc r="A253">
      <v>119</v>
    </oc>
    <nc r="A253">
      <v>247</v>
    </nc>
  </rcc>
  <rcc rId="6581" sId="1" odxf="1" dxf="1">
    <oc r="A254">
      <v>120</v>
    </oc>
    <nc r="A254">
      <v>248</v>
    </nc>
    <odxf>
      <border outline="0">
        <left style="medium">
          <color indexed="64"/>
        </left>
      </border>
    </odxf>
    <ndxf>
      <border outline="0">
        <left style="thin">
          <color indexed="64"/>
        </left>
      </border>
    </ndxf>
  </rcc>
  <rcc rId="6582" sId="1">
    <oc r="A255">
      <v>121</v>
    </oc>
    <nc r="A255">
      <v>249</v>
    </nc>
  </rcc>
  <rcc rId="6583" sId="1">
    <oc r="A256">
      <v>122</v>
    </oc>
    <nc r="A256">
      <v>250</v>
    </nc>
  </rcc>
  <rcc rId="6584" sId="1" odxf="1" dxf="1">
    <oc r="A257">
      <v>123</v>
    </oc>
    <nc r="A257">
      <v>251</v>
    </nc>
    <odxf>
      <border outline="0">
        <left style="medium">
          <color indexed="64"/>
        </left>
      </border>
    </odxf>
    <ndxf>
      <border outline="0">
        <left style="thin">
          <color indexed="64"/>
        </left>
      </border>
    </ndxf>
  </rcc>
  <rcc rId="6585" sId="1">
    <oc r="A258">
      <v>124</v>
    </oc>
    <nc r="A258">
      <v>252</v>
    </nc>
  </rcc>
  <rcc rId="6586" sId="1">
    <oc r="A259">
      <v>125</v>
    </oc>
    <nc r="A259">
      <v>253</v>
    </nc>
  </rcc>
  <rcc rId="6587" sId="1" odxf="1" dxf="1">
    <oc r="A260">
      <v>126</v>
    </oc>
    <nc r="A260">
      <v>254</v>
    </nc>
    <odxf>
      <border outline="0">
        <left style="medium">
          <color indexed="64"/>
        </left>
      </border>
    </odxf>
    <ndxf>
      <border outline="0">
        <left style="thin">
          <color indexed="64"/>
        </left>
      </border>
    </ndxf>
  </rcc>
  <rcc rId="6588" sId="1">
    <oc r="A261">
      <v>127</v>
    </oc>
    <nc r="A261">
      <v>255</v>
    </nc>
  </rcc>
  <rcc rId="6589" sId="1">
    <oc r="A262">
      <v>128</v>
    </oc>
    <nc r="A262">
      <v>256</v>
    </nc>
  </rcc>
  <rcc rId="6590" sId="1" odxf="1" dxf="1">
    <oc r="A263">
      <v>129</v>
    </oc>
    <nc r="A263">
      <v>257</v>
    </nc>
    <odxf>
      <border outline="0">
        <left style="medium">
          <color indexed="64"/>
        </left>
      </border>
    </odxf>
    <ndxf>
      <border outline="0">
        <left style="thin">
          <color indexed="64"/>
        </left>
      </border>
    </ndxf>
  </rcc>
  <rcc rId="6591" sId="1">
    <oc r="A264">
      <v>130</v>
    </oc>
    <nc r="A264">
      <v>258</v>
    </nc>
  </rcc>
  <rcc rId="6592" sId="1">
    <oc r="A265">
      <v>131</v>
    </oc>
    <nc r="A265">
      <v>259</v>
    </nc>
  </rcc>
  <rcc rId="6593" sId="1" odxf="1" dxf="1">
    <oc r="A266">
      <v>132</v>
    </oc>
    <nc r="A266">
      <v>260</v>
    </nc>
    <odxf>
      <border outline="0">
        <left style="medium">
          <color indexed="64"/>
        </left>
      </border>
    </odxf>
    <ndxf>
      <border outline="0">
        <left style="thin">
          <color indexed="64"/>
        </left>
      </border>
    </ndxf>
  </rcc>
  <rcc rId="6594" sId="1">
    <oc r="A267">
      <v>133</v>
    </oc>
    <nc r="A267">
      <v>261</v>
    </nc>
  </rcc>
  <rcc rId="6595" sId="1">
    <oc r="A268">
      <v>134</v>
    </oc>
    <nc r="A268">
      <v>262</v>
    </nc>
  </rcc>
  <rcc rId="6596" sId="1" odxf="1" dxf="1">
    <oc r="A269">
      <v>135</v>
    </oc>
    <nc r="A269">
      <v>263</v>
    </nc>
    <odxf>
      <border outline="0">
        <left style="medium">
          <color indexed="64"/>
        </left>
      </border>
    </odxf>
    <ndxf>
      <border outline="0">
        <left style="thin">
          <color indexed="64"/>
        </left>
      </border>
    </ndxf>
  </rcc>
  <rcc rId="6597" sId="1">
    <oc r="A270">
      <v>136</v>
    </oc>
    <nc r="A270">
      <v>264</v>
    </nc>
  </rcc>
  <rcc rId="6598" sId="1">
    <oc r="A271">
      <v>137</v>
    </oc>
    <nc r="A271">
      <v>265</v>
    </nc>
  </rcc>
  <rcc rId="6599" sId="1" odxf="1" dxf="1">
    <oc r="A272">
      <v>138</v>
    </oc>
    <nc r="A272">
      <v>266</v>
    </nc>
    <odxf>
      <border outline="0">
        <left style="medium">
          <color indexed="64"/>
        </left>
      </border>
    </odxf>
    <ndxf>
      <border outline="0">
        <left style="thin">
          <color indexed="64"/>
        </left>
      </border>
    </ndxf>
  </rcc>
  <rcc rId="6600" sId="1">
    <oc r="A273">
      <v>139</v>
    </oc>
    <nc r="A273">
      <v>267</v>
    </nc>
  </rcc>
  <rcc rId="6601" sId="1">
    <oc r="A274">
      <v>140</v>
    </oc>
    <nc r="A274">
      <v>268</v>
    </nc>
  </rcc>
  <rcc rId="6602" sId="1" odxf="1" dxf="1">
    <oc r="A275">
      <v>141</v>
    </oc>
    <nc r="A275">
      <v>269</v>
    </nc>
    <odxf>
      <border outline="0">
        <left style="medium">
          <color indexed="64"/>
        </left>
      </border>
    </odxf>
    <ndxf>
      <border outline="0">
        <left style="thin">
          <color indexed="64"/>
        </left>
      </border>
    </ndxf>
  </rcc>
  <rcc rId="6603" sId="1">
    <oc r="A276">
      <v>142</v>
    </oc>
    <nc r="A276">
      <v>270</v>
    </nc>
  </rcc>
  <rcc rId="6604" sId="1">
    <oc r="A277">
      <v>143</v>
    </oc>
    <nc r="A277">
      <v>271</v>
    </nc>
  </rcc>
  <rcc rId="6605" sId="1" odxf="1" dxf="1">
    <oc r="A278">
      <v>144</v>
    </oc>
    <nc r="A278">
      <v>272</v>
    </nc>
    <odxf>
      <border outline="0">
        <left style="medium">
          <color indexed="64"/>
        </left>
      </border>
    </odxf>
    <ndxf>
      <border outline="0">
        <left style="thin">
          <color indexed="64"/>
        </left>
      </border>
    </ndxf>
  </rcc>
  <rcc rId="6606" sId="1">
    <oc r="A279">
      <v>145</v>
    </oc>
    <nc r="A279">
      <v>273</v>
    </nc>
  </rcc>
  <rcc rId="6607" sId="1">
    <oc r="A280">
      <v>146</v>
    </oc>
    <nc r="A280">
      <v>274</v>
    </nc>
  </rcc>
  <rcc rId="6608" sId="1" odxf="1" dxf="1">
    <oc r="A281">
      <v>147</v>
    </oc>
    <nc r="A281">
      <v>275</v>
    </nc>
    <odxf>
      <border outline="0">
        <left style="medium">
          <color indexed="64"/>
        </left>
      </border>
    </odxf>
    <ndxf>
      <border outline="0">
        <left style="thin">
          <color indexed="64"/>
        </left>
      </border>
    </ndxf>
  </rcc>
  <rcc rId="6609" sId="1">
    <oc r="A282">
      <v>148</v>
    </oc>
    <nc r="A282">
      <v>276</v>
    </nc>
  </rcc>
  <rcc rId="6610" sId="1">
    <oc r="A283">
      <v>149</v>
    </oc>
    <nc r="A283">
      <v>277</v>
    </nc>
  </rcc>
  <rcc rId="6611" sId="1" odxf="1" dxf="1">
    <oc r="A284">
      <v>150</v>
    </oc>
    <nc r="A284">
      <v>278</v>
    </nc>
    <odxf>
      <border outline="0">
        <left style="medium">
          <color indexed="64"/>
        </left>
      </border>
    </odxf>
    <ndxf>
      <border outline="0">
        <left style="thin">
          <color indexed="64"/>
        </left>
      </border>
    </ndxf>
  </rcc>
  <rcc rId="6612" sId="1">
    <oc r="A285">
      <v>151</v>
    </oc>
    <nc r="A285">
      <v>279</v>
    </nc>
  </rcc>
  <rcc rId="6613" sId="1">
    <oc r="A286">
      <v>152</v>
    </oc>
    <nc r="A286">
      <v>280</v>
    </nc>
  </rcc>
  <rcc rId="6614" sId="1" odxf="1" dxf="1">
    <oc r="A287">
      <v>153</v>
    </oc>
    <nc r="A287">
      <v>281</v>
    </nc>
    <odxf>
      <border outline="0">
        <left style="medium">
          <color indexed="64"/>
        </left>
      </border>
    </odxf>
    <ndxf>
      <border outline="0">
        <left style="thin">
          <color indexed="64"/>
        </left>
      </border>
    </ndxf>
  </rcc>
  <rcc rId="6615" sId="1">
    <oc r="A288">
      <v>154</v>
    </oc>
    <nc r="A288">
      <v>282</v>
    </nc>
  </rcc>
  <rcc rId="6616" sId="1">
    <oc r="A289">
      <v>155</v>
    </oc>
    <nc r="A289">
      <v>283</v>
    </nc>
  </rcc>
  <rcc rId="6617" sId="1" odxf="1" dxf="1">
    <oc r="A290">
      <v>156</v>
    </oc>
    <nc r="A290">
      <v>284</v>
    </nc>
    <odxf>
      <border outline="0">
        <left style="medium">
          <color indexed="64"/>
        </left>
      </border>
    </odxf>
    <ndxf>
      <border outline="0">
        <left style="thin">
          <color indexed="64"/>
        </left>
      </border>
    </ndxf>
  </rcc>
  <rcc rId="6618" sId="1">
    <oc r="A291">
      <v>157</v>
    </oc>
    <nc r="A291">
      <v>285</v>
    </nc>
  </rcc>
  <rcc rId="6619" sId="1">
    <oc r="A292">
      <v>158</v>
    </oc>
    <nc r="A292">
      <v>286</v>
    </nc>
  </rcc>
  <rcc rId="6620" sId="1" odxf="1" dxf="1">
    <oc r="A293">
      <v>159</v>
    </oc>
    <nc r="A293">
      <v>287</v>
    </nc>
    <odxf>
      <border outline="0">
        <left style="medium">
          <color indexed="64"/>
        </left>
      </border>
    </odxf>
    <ndxf>
      <border outline="0">
        <left style="thin">
          <color indexed="64"/>
        </left>
      </border>
    </ndxf>
  </rcc>
  <rcc rId="6621" sId="1">
    <oc r="A294">
      <v>160</v>
    </oc>
    <nc r="A294">
      <v>288</v>
    </nc>
  </rcc>
  <rcc rId="6622" sId="1">
    <oc r="A295">
      <v>161</v>
    </oc>
    <nc r="A295">
      <v>289</v>
    </nc>
  </rcc>
  <rcc rId="6623" sId="1" odxf="1" dxf="1">
    <oc r="A296">
      <v>162</v>
    </oc>
    <nc r="A296">
      <v>290</v>
    </nc>
    <odxf>
      <border outline="0">
        <left style="medium">
          <color indexed="64"/>
        </left>
      </border>
    </odxf>
    <ndxf>
      <border outline="0">
        <left style="thin">
          <color indexed="64"/>
        </left>
      </border>
    </ndxf>
  </rcc>
  <rcc rId="6624" sId="1" odxf="1" dxf="1">
    <oc r="A297">
      <v>163</v>
    </oc>
    <nc r="A297">
      <v>291</v>
    </nc>
    <odxf>
      <border outline="0">
        <left style="thin">
          <color indexed="64"/>
        </left>
      </border>
    </odxf>
    <ndxf>
      <border outline="0">
        <left style="medium">
          <color indexed="64"/>
        </left>
      </border>
    </ndxf>
  </rcc>
  <rcc rId="6625" sId="1">
    <oc r="A298">
      <v>164</v>
    </oc>
    <nc r="A298">
      <v>292</v>
    </nc>
  </rcc>
  <rcc rId="6626" sId="1" odxf="1" dxf="1">
    <oc r="A299">
      <v>165</v>
    </oc>
    <nc r="A299">
      <v>293</v>
    </nc>
    <odxf>
      <border outline="0">
        <left style="medium">
          <color indexed="64"/>
        </left>
      </border>
    </odxf>
    <ndxf>
      <border outline="0">
        <left style="thin">
          <color indexed="64"/>
        </left>
      </border>
    </ndxf>
  </rcc>
  <rcc rId="6627" sId="1" odxf="1" dxf="1">
    <oc r="A300">
      <v>166</v>
    </oc>
    <nc r="A300">
      <v>294</v>
    </nc>
    <odxf>
      <border outline="0">
        <left style="thin">
          <color indexed="64"/>
        </left>
      </border>
    </odxf>
    <ndxf>
      <border outline="0">
        <left style="medium">
          <color indexed="64"/>
        </left>
      </border>
    </ndxf>
  </rcc>
  <rcc rId="6628" sId="1">
    <oc r="A301">
      <v>167</v>
    </oc>
    <nc r="A301">
      <v>295</v>
    </nc>
  </rcc>
  <rcc rId="6629" sId="1" odxf="1" dxf="1">
    <oc r="A302">
      <v>168</v>
    </oc>
    <nc r="A302">
      <v>296</v>
    </nc>
    <odxf>
      <border outline="0">
        <left style="medium">
          <color indexed="64"/>
        </left>
      </border>
    </odxf>
    <ndxf>
      <border outline="0">
        <left style="thin">
          <color indexed="64"/>
        </left>
      </border>
    </ndxf>
  </rcc>
  <rcc rId="6630" sId="1" odxf="1" dxf="1">
    <oc r="A303">
      <v>169</v>
    </oc>
    <nc r="A303">
      <v>297</v>
    </nc>
    <odxf>
      <border outline="0">
        <left style="thin">
          <color indexed="64"/>
        </left>
      </border>
    </odxf>
    <ndxf>
      <border outline="0">
        <left style="medium">
          <color indexed="64"/>
        </left>
      </border>
    </ndxf>
  </rcc>
  <rcc rId="6631" sId="1">
    <oc r="A304">
      <v>170</v>
    </oc>
    <nc r="A304">
      <v>298</v>
    </nc>
  </rcc>
  <rcc rId="6632" sId="1" odxf="1" dxf="1">
    <oc r="A305">
      <v>171</v>
    </oc>
    <nc r="A305">
      <v>299</v>
    </nc>
    <odxf>
      <border outline="0">
        <left style="medium">
          <color indexed="64"/>
        </left>
      </border>
    </odxf>
    <ndxf>
      <border outline="0">
        <left style="thin">
          <color indexed="64"/>
        </left>
      </border>
    </ndxf>
  </rcc>
  <rcc rId="6633" sId="1" odxf="1" dxf="1">
    <oc r="A306">
      <v>172</v>
    </oc>
    <nc r="A306">
      <v>300</v>
    </nc>
    <odxf>
      <border outline="0">
        <left style="thin">
          <color indexed="64"/>
        </left>
      </border>
    </odxf>
    <ndxf>
      <border outline="0">
        <left style="medium">
          <color indexed="64"/>
        </left>
      </border>
    </ndxf>
  </rcc>
  <rcc rId="6634" sId="1">
    <oc r="A307">
      <v>173</v>
    </oc>
    <nc r="A307">
      <v>301</v>
    </nc>
  </rcc>
  <rcc rId="6635" sId="1" odxf="1" dxf="1">
    <oc r="A308">
      <v>174</v>
    </oc>
    <nc r="A308">
      <v>302</v>
    </nc>
    <odxf>
      <border outline="0">
        <left style="medium">
          <color indexed="64"/>
        </left>
      </border>
    </odxf>
    <ndxf>
      <border outline="0">
        <left style="thin">
          <color indexed="64"/>
        </left>
      </border>
    </ndxf>
  </rcc>
  <rcc rId="6636" sId="1" odxf="1" dxf="1">
    <oc r="A309">
      <v>175</v>
    </oc>
    <nc r="A309">
      <v>303</v>
    </nc>
    <odxf>
      <border outline="0">
        <left style="thin">
          <color indexed="64"/>
        </left>
      </border>
    </odxf>
    <ndxf>
      <border outline="0">
        <left style="medium">
          <color indexed="64"/>
        </left>
      </border>
    </ndxf>
  </rcc>
  <rcc rId="6637" sId="1">
    <oc r="A310">
      <v>176</v>
    </oc>
    <nc r="A310">
      <v>304</v>
    </nc>
  </rcc>
  <rcc rId="6638" sId="1" odxf="1" dxf="1">
    <oc r="A311">
      <v>177</v>
    </oc>
    <nc r="A311">
      <v>305</v>
    </nc>
    <odxf>
      <border outline="0">
        <left style="medium">
          <color indexed="64"/>
        </left>
      </border>
    </odxf>
    <ndxf>
      <border outline="0">
        <left style="thin">
          <color indexed="64"/>
        </left>
      </border>
    </ndxf>
  </rcc>
  <rcc rId="6639" sId="1">
    <oc r="A312">
      <v>178</v>
    </oc>
    <nc r="A312">
      <v>306</v>
    </nc>
  </rcc>
  <rcc rId="6640" sId="1">
    <oc r="A313">
      <v>179</v>
    </oc>
    <nc r="A313">
      <v>307</v>
    </nc>
  </rcc>
  <rcc rId="6641" sId="1" odxf="1" dxf="1">
    <oc r="A314">
      <v>180</v>
    </oc>
    <nc r="A314">
      <v>308</v>
    </nc>
    <odxf>
      <border outline="0">
        <left style="medium">
          <color indexed="64"/>
        </left>
      </border>
    </odxf>
    <ndxf>
      <border outline="0">
        <left style="thin">
          <color indexed="64"/>
        </left>
      </border>
    </ndxf>
  </rcc>
  <rcc rId="6642" sId="1">
    <oc r="A315">
      <v>181</v>
    </oc>
    <nc r="A315">
      <v>309</v>
    </nc>
  </rcc>
  <rcc rId="6643" sId="1">
    <oc r="A316">
      <v>182</v>
    </oc>
    <nc r="A316">
      <v>310</v>
    </nc>
  </rcc>
  <rcc rId="6644" sId="1" odxf="1" dxf="1">
    <oc r="A317">
      <v>183</v>
    </oc>
    <nc r="A317">
      <v>311</v>
    </nc>
    <odxf>
      <border outline="0">
        <left style="medium">
          <color indexed="64"/>
        </left>
      </border>
    </odxf>
    <ndxf>
      <border outline="0">
        <left style="thin">
          <color indexed="64"/>
        </left>
      </border>
    </ndxf>
  </rcc>
  <rcc rId="6645" sId="1">
    <oc r="A318">
      <v>184</v>
    </oc>
    <nc r="A318">
      <v>312</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646" sId="1" eol="1" ref="A319:XFD319" action="insertRow">
    <undo index="65535" exp="area" ref3D="1" dr="$H$1:$N$1048576" dn="Z_65B035E3_87FA_46C5_996E_864F2C8D0EBC_.wvu.Cols" sId="1"/>
  </rrc>
  <rfmt sheetId="1" sqref="AE319" start="0" length="0">
    <dxf>
      <numFmt numFmtId="166" formatCode="#,##0.00_ ;\-#,##0.00\ "/>
    </dxf>
  </rfmt>
  <rfmt sheetId="1" sqref="AE320" start="0" length="0">
    <dxf>
      <numFmt numFmtId="3" formatCode="#,##0"/>
    </dxf>
  </rfmt>
  <rfmt sheetId="1" xfDxf="1" sqref="AE320" start="0" length="0">
    <dxf>
      <numFmt numFmtId="3" formatCode="#,##0"/>
    </dxf>
  </rfmt>
  <rfmt sheetId="1" sqref="AE320">
    <dxf>
      <numFmt numFmtId="173" formatCode="#,##0.0"/>
    </dxf>
  </rfmt>
  <rfmt sheetId="1" sqref="AE320">
    <dxf>
      <numFmt numFmtId="4" formatCode="#,##0.00"/>
    </dxf>
  </rfmt>
  <rfmt sheetId="1" sqref="AE320">
    <dxf>
      <numFmt numFmtId="174" formatCode="#,##0.000"/>
    </dxf>
  </rfmt>
  <rrc rId="6647" sId="1" eol="1" ref="A321:XFD321" action="insertRow">
    <undo index="65535" exp="area" ref3D="1" dr="$H$1:$N$1048576" dn="Z_65B035E3_87FA_46C5_996E_864F2C8D0EBC_.wvu.Cols" sId="1"/>
  </rr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48" sId="1">
    <nc r="B160">
      <v>117834</v>
    </nc>
  </rcc>
</revisions>
</file>

<file path=xl/revisions/revisionLog4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46" sId="1">
    <nc r="I491" t="inlineStr">
      <is>
        <t>ASOCIATIA PENTRU IMPLEMENTAREA DEMOCRATIEI</t>
      </is>
    </nc>
  </rcc>
  <rcc rId="5147" sId="1">
    <nc r="J491" t="inlineStr">
      <is>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is>
    </nc>
  </rcc>
  <rcc rId="5148" sId="1" numFmtId="19">
    <nc r="L492">
      <v>44255</v>
    </nc>
  </rcc>
  <rcc rId="5149" sId="1" numFmtId="19">
    <nc r="L491">
      <v>44255</v>
    </nc>
  </rcc>
  <rcv guid="{901F9774-8BE7-424D-87C2-1026F3FA2E93}" action="delete"/>
  <rdn rId="0" localSheetId="1" customView="1" name="Z_901F9774_8BE7_424D_87C2_1026F3FA2E93_.wvu.PrintArea" hidden="1" oldHidden="1">
    <formula>Sheet1!$A$1:$AL$524</formula>
    <oldFormula>Sheet1!$A$1:$AL$524</oldFormula>
  </rdn>
  <rdn rId="0" localSheetId="1" customView="1" name="Z_901F9774_8BE7_424D_87C2_1026F3FA2E93_.wvu.FilterData" hidden="1" oldHidden="1">
    <formula>Sheet1!$C$1:$C$547</formula>
    <oldFormula>Sheet1!$C$1:$C$547</oldFormula>
  </rdn>
  <rcv guid="{901F9774-8BE7-424D-87C2-1026F3FA2E93}" action="add"/>
</revisions>
</file>

<file path=xl/revisions/revisionLog4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52" sId="1" xfDxf="1" dxf="1">
    <nc r="G492" t="inlineStr">
      <is>
        <t>Noi perspective in educatie - NPE</t>
      </is>
    </nc>
    <ndxf>
      <font>
        <sz val="10"/>
        <charset val="1"/>
      </font>
      <alignment horizontal="center" vertical="center" wrapText="1"/>
      <border outline="0">
        <right style="thin">
          <color indexed="64"/>
        </right>
        <top style="thin">
          <color indexed="64"/>
        </top>
        <bottom style="thin">
          <color indexed="64"/>
        </bottom>
      </border>
    </ndxf>
  </rcc>
  <rcc rId="5153" sId="1">
    <nc r="H492" t="inlineStr">
      <is>
        <t>Ministerul Educației Naționale</t>
      </is>
    </nc>
  </rcc>
  <rfmt sheetId="1" sqref="J492">
    <dxf>
      <alignment horizontal="left"/>
    </dxf>
  </rfmt>
  <rfmt sheetId="1" sqref="I492">
    <dxf>
      <alignment horizontal="left"/>
    </dxf>
  </rfmt>
  <rfmt sheetId="1" sqref="J491">
    <dxf>
      <alignment horizontal="left"/>
    </dxf>
  </rfmt>
  <rcc rId="5154" sId="1">
    <nc r="J492" t="inlineStr">
      <is>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is>
    </nc>
  </rcc>
  <rcc rId="5155" sId="1">
    <nc r="I492" t="inlineStr">
      <is>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is>
    </nc>
  </rcc>
  <rcc rId="5156" sId="1" numFmtId="19">
    <oc r="L492">
      <v>44255</v>
    </oc>
    <nc r="L492">
      <v>44193</v>
    </nc>
  </rcc>
</revisions>
</file>

<file path=xl/revisions/revisionLog4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157" sId="1" ref="A527:XFD527" action="deleteRow">
    <undo index="0" exp="ref" v="1" dr="S527" r="S528" sId="1"/>
    <undo index="65535" exp="area" ref3D="1" dr="$H$1:$N$1048576" dn="Z_65B035E3_87FA_46C5_996E_864F2C8D0EBC_.wvu.Cols" sId="1"/>
    <rfmt sheetId="1" xfDxf="1" sqref="A527:XFD527" start="0" length="0"/>
    <rfmt sheetId="1" sqref="B527" start="0" length="0">
      <dxf>
        <fill>
          <patternFill patternType="solid">
            <bgColor rgb="FFFFFF00"/>
          </patternFill>
        </fill>
      </dxf>
    </rfmt>
    <rfmt sheetId="1" sqref="C527" start="0" length="0">
      <dxf>
        <font>
          <b/>
          <sz val="11"/>
          <color theme="1"/>
          <name val="Calibri"/>
          <family val="2"/>
          <charset val="238"/>
          <scheme val="minor"/>
        </font>
        <fill>
          <patternFill patternType="solid">
            <bgColor rgb="FFFFFF00"/>
          </patternFill>
        </fill>
      </dxf>
    </rfmt>
    <rfmt sheetId="1" sqref="D527" start="0" length="0">
      <dxf>
        <fill>
          <patternFill patternType="solid">
            <bgColor rgb="FFFFFF00"/>
          </patternFill>
        </fill>
      </dxf>
    </rfmt>
    <rfmt sheetId="1" sqref="F527" start="0" length="0">
      <dxf>
        <fill>
          <patternFill patternType="solid">
            <bgColor rgb="FFFFFF00"/>
          </patternFill>
        </fill>
      </dxf>
    </rfmt>
    <rfmt sheetId="1" sqref="G527" start="0" length="0">
      <dxf>
        <alignment horizontal="left" vertical="top"/>
      </dxf>
    </rfmt>
    <rfmt sheetId="1" sqref="H527" start="0" length="0">
      <dxf>
        <alignment horizontal="left" vertical="top"/>
      </dxf>
    </rfmt>
    <rfmt sheetId="1" sqref="I527" start="0" length="0">
      <dxf>
        <fill>
          <patternFill patternType="solid">
            <bgColor rgb="FFFFFF00"/>
          </patternFill>
        </fill>
        <alignment horizontal="center" vertical="top"/>
      </dxf>
    </rfmt>
    <rfmt sheetId="1" sqref="K527" start="0" length="0">
      <dxf>
        <fill>
          <patternFill patternType="solid">
            <bgColor theme="0"/>
          </patternFill>
        </fill>
        <alignment horizontal="center" vertical="top"/>
      </dxf>
    </rfmt>
    <rfmt sheetId="1" sqref="L527" start="0" length="0">
      <dxf>
        <alignment horizontal="center" vertical="top"/>
      </dxf>
    </rfmt>
    <rfmt sheetId="1" sqref="M527" start="0" length="0">
      <dxf>
        <alignment horizontal="center" vertical="top"/>
      </dxf>
    </rfmt>
    <rfmt sheetId="1" sqref="N527" start="0" length="0">
      <dxf>
        <alignment horizontal="center" vertical="top"/>
      </dxf>
    </rfmt>
    <rfmt sheetId="1" sqref="O527" start="0" length="0">
      <dxf>
        <alignment horizontal="center" vertical="top"/>
      </dxf>
    </rfmt>
    <rfmt sheetId="1" sqref="P527" start="0" length="0">
      <dxf>
        <alignment horizontal="center" vertical="top"/>
      </dxf>
    </rfmt>
    <rfmt sheetId="1" sqref="Q527" start="0" length="0">
      <dxf>
        <alignment horizontal="center" vertical="top"/>
      </dxf>
    </rfmt>
    <rfmt sheetId="1" sqref="R527" start="0" length="0">
      <dxf>
        <alignment horizontal="center" vertical="top"/>
      </dxf>
    </rfmt>
    <rcc rId="0" sId="1" dxf="1">
      <nc r="S527">
        <f>S524+10000000</f>
      </nc>
      <ndxf>
        <numFmt numFmtId="4" formatCode="#,##0.00"/>
      </ndxf>
    </rcc>
    <rfmt sheetId="1" sqref="T527" start="0" length="0">
      <dxf>
        <fill>
          <patternFill patternType="solid">
            <bgColor rgb="FFFFFF00"/>
          </patternFill>
        </fill>
      </dxf>
    </rfmt>
    <rfmt sheetId="1" sqref="U527" start="0" length="0">
      <dxf>
        <fill>
          <patternFill patternType="solid">
            <bgColor rgb="FFFFFF00"/>
          </patternFill>
        </fill>
      </dxf>
    </rfmt>
    <rfmt sheetId="1" sqref="W527" start="0" length="0">
      <dxf>
        <fill>
          <patternFill patternType="solid">
            <bgColor rgb="FFFFFF00"/>
          </patternFill>
        </fill>
      </dxf>
    </rfmt>
    <rfmt sheetId="1" sqref="X527" start="0" length="0">
      <dxf>
        <fill>
          <patternFill patternType="solid">
            <bgColor rgb="FFFFFF00"/>
          </patternFill>
        </fill>
      </dxf>
    </rfmt>
    <rfmt sheetId="1" sqref="Z527" start="0" length="0">
      <dxf>
        <fill>
          <patternFill patternType="solid">
            <bgColor rgb="FFFFFF00"/>
          </patternFill>
        </fill>
      </dxf>
    </rfmt>
    <rfmt sheetId="1" sqref="AA527" start="0" length="0">
      <dxf>
        <fill>
          <patternFill patternType="solid">
            <bgColor rgb="FFFFFF00"/>
          </patternFill>
        </fill>
      </dxf>
    </rfmt>
    <rfmt sheetId="1" sqref="AC527" start="0" length="0">
      <dxf>
        <fill>
          <patternFill patternType="solid">
            <bgColor rgb="FFFFFF00"/>
          </patternFill>
        </fill>
      </dxf>
    </rfmt>
    <rfmt sheetId="1" sqref="AD527" start="0" length="0">
      <dxf>
        <fill>
          <patternFill patternType="solid">
            <bgColor rgb="FFFFFF00"/>
          </patternFill>
        </fill>
      </dxf>
    </rfmt>
    <rfmt sheetId="1" sqref="AE527" start="0" length="0">
      <dxf>
        <fill>
          <patternFill patternType="solid">
            <bgColor theme="0"/>
          </patternFill>
        </fill>
      </dxf>
    </rfmt>
    <rfmt sheetId="1" sqref="AI527" start="0" length="0">
      <dxf>
        <alignment vertical="top" wrapText="1"/>
      </dxf>
    </rfmt>
  </rrc>
  <rrc rId="5158" sId="1" ref="A527:XFD527" action="deleteRow">
    <undo index="65535" exp="area" ref3D="1" dr="$H$1:$N$1048576" dn="Z_65B035E3_87FA_46C5_996E_864F2C8D0EBC_.wvu.Cols" sId="1"/>
    <rfmt sheetId="1" xfDxf="1" sqref="A527:XFD527" start="0" length="0"/>
    <rfmt sheetId="1" sqref="B527" start="0" length="0">
      <dxf>
        <fill>
          <patternFill patternType="solid">
            <bgColor rgb="FFFFFF00"/>
          </patternFill>
        </fill>
      </dxf>
    </rfmt>
    <rfmt sheetId="1" sqref="C527" start="0" length="0">
      <dxf>
        <font>
          <b/>
          <sz val="11"/>
          <color theme="1"/>
          <name val="Calibri"/>
          <family val="2"/>
          <charset val="238"/>
          <scheme val="minor"/>
        </font>
        <fill>
          <patternFill patternType="solid">
            <bgColor rgb="FFFFFF00"/>
          </patternFill>
        </fill>
      </dxf>
    </rfmt>
    <rfmt sheetId="1" sqref="D527" start="0" length="0">
      <dxf>
        <fill>
          <patternFill patternType="solid">
            <bgColor rgb="FFFFFF00"/>
          </patternFill>
        </fill>
      </dxf>
    </rfmt>
    <rfmt sheetId="1" sqref="F527" start="0" length="0">
      <dxf>
        <fill>
          <patternFill patternType="solid">
            <bgColor rgb="FFFFFF00"/>
          </patternFill>
        </fill>
      </dxf>
    </rfmt>
    <rfmt sheetId="1" sqref="G527" start="0" length="0">
      <dxf>
        <alignment horizontal="left" vertical="top"/>
      </dxf>
    </rfmt>
    <rfmt sheetId="1" sqref="H527" start="0" length="0">
      <dxf>
        <alignment horizontal="left" vertical="top"/>
      </dxf>
    </rfmt>
    <rfmt sheetId="1" sqref="I527" start="0" length="0">
      <dxf>
        <fill>
          <patternFill patternType="solid">
            <bgColor rgb="FFFFFF00"/>
          </patternFill>
        </fill>
        <alignment horizontal="center" vertical="top"/>
      </dxf>
    </rfmt>
    <rfmt sheetId="1" sqref="K527" start="0" length="0">
      <dxf>
        <fill>
          <patternFill patternType="solid">
            <bgColor theme="0"/>
          </patternFill>
        </fill>
        <alignment horizontal="center" vertical="top"/>
      </dxf>
    </rfmt>
    <rfmt sheetId="1" sqref="L527" start="0" length="0">
      <dxf>
        <alignment horizontal="center" vertical="top"/>
      </dxf>
    </rfmt>
    <rfmt sheetId="1" sqref="M527" start="0" length="0">
      <dxf>
        <alignment horizontal="center" vertical="top"/>
      </dxf>
    </rfmt>
    <rfmt sheetId="1" sqref="N527" start="0" length="0">
      <dxf>
        <alignment horizontal="center" vertical="top"/>
      </dxf>
    </rfmt>
    <rfmt sheetId="1" sqref="O527" start="0" length="0">
      <dxf>
        <alignment horizontal="center" vertical="top"/>
      </dxf>
    </rfmt>
    <rfmt sheetId="1" sqref="P527" start="0" length="0">
      <dxf>
        <alignment horizontal="center" vertical="top"/>
      </dxf>
    </rfmt>
    <rcc rId="0" sId="1" dxf="1">
      <nc r="Q527" t="inlineStr">
        <is>
          <t>UE - POCA</t>
        </is>
      </nc>
      <ndxf>
        <alignment horizontal="center" vertical="top"/>
      </ndxf>
    </rcc>
    <rcc rId="0" sId="1" dxf="1" numFmtId="4">
      <nc r="R527">
        <v>2581744679.1599998</v>
      </nc>
      <ndxf>
        <numFmt numFmtId="167" formatCode="#,##0.00_ ;[Red]\-#,##0.00\ "/>
        <alignment horizontal="center" vertical="top"/>
      </ndxf>
    </rcc>
    <rcc rId="0" sId="1" dxf="1">
      <nc r="S527">
        <f>ROUND(#REF!*100/R527,2)</f>
      </nc>
      <ndxf>
        <numFmt numFmtId="4" formatCode="#,##0.00"/>
      </ndxf>
    </rcc>
    <rfmt sheetId="1" sqref="T527" start="0" length="0">
      <dxf>
        <fill>
          <patternFill patternType="solid">
            <bgColor rgb="FFFFFF00"/>
          </patternFill>
        </fill>
      </dxf>
    </rfmt>
    <rfmt sheetId="1" sqref="U527" start="0" length="0">
      <dxf>
        <fill>
          <patternFill patternType="solid">
            <bgColor rgb="FFFFFF00"/>
          </patternFill>
        </fill>
      </dxf>
    </rfmt>
    <rfmt sheetId="1" sqref="W527" start="0" length="0">
      <dxf>
        <fill>
          <patternFill patternType="solid">
            <bgColor rgb="FFFFFF00"/>
          </patternFill>
        </fill>
      </dxf>
    </rfmt>
    <rfmt sheetId="1" sqref="X527" start="0" length="0">
      <dxf>
        <fill>
          <patternFill patternType="solid">
            <bgColor rgb="FFFFFF00"/>
          </patternFill>
        </fill>
      </dxf>
    </rfmt>
    <rcc rId="0" sId="1">
      <nc r="Y527" t="inlineStr">
        <is>
          <t xml:space="preserve"> </t>
        </is>
      </nc>
    </rcc>
    <rfmt sheetId="1" sqref="Z527" start="0" length="0">
      <dxf>
        <fill>
          <patternFill patternType="solid">
            <bgColor rgb="FFFFFF00"/>
          </patternFill>
        </fill>
      </dxf>
    </rfmt>
    <rfmt sheetId="1" sqref="AA527" start="0" length="0">
      <dxf>
        <fill>
          <patternFill patternType="solid">
            <bgColor rgb="FFFFFF00"/>
          </patternFill>
        </fill>
      </dxf>
    </rfmt>
    <rfmt sheetId="1" sqref="AC527" start="0" length="0">
      <dxf>
        <fill>
          <patternFill patternType="solid">
            <bgColor rgb="FFFFFF00"/>
          </patternFill>
        </fill>
      </dxf>
    </rfmt>
    <rfmt sheetId="1" sqref="AD527" start="0" length="0">
      <dxf>
        <fill>
          <patternFill patternType="solid">
            <bgColor rgb="FFFFFF00"/>
          </patternFill>
        </fill>
      </dxf>
    </rfmt>
    <rfmt sheetId="1" sqref="AE527" start="0" length="0">
      <dxf>
        <fill>
          <patternFill patternType="solid">
            <bgColor theme="0"/>
          </patternFill>
        </fill>
      </dxf>
    </rfmt>
    <rcc rId="0" sId="1" dxf="1">
      <nc r="AG527">
        <f>AG355-11771303.25</f>
      </nc>
      <ndxf>
        <numFmt numFmtId="165" formatCode="#,##0.00_ ;\-#,##0.00\ "/>
      </ndxf>
    </rcc>
    <rfmt sheetId="1" sqref="AI527" start="0" length="0">
      <dxf>
        <alignment vertical="top" wrapText="1"/>
      </dxf>
    </rfmt>
  </rrc>
  <rrc rId="5159" sId="1" ref="A527:XFD527" action="deleteRow">
    <undo index="65535" exp="area" ref3D="1" dr="$H$1:$N$1048576" dn="Z_65B035E3_87FA_46C5_996E_864F2C8D0EBC_.wvu.Cols" sId="1"/>
    <rfmt sheetId="1" xfDxf="1" sqref="A527:XFD527" start="0" length="0"/>
    <rfmt sheetId="1" sqref="B527" start="0" length="0">
      <dxf>
        <fill>
          <patternFill patternType="solid">
            <bgColor rgb="FFFFFF00"/>
          </patternFill>
        </fill>
      </dxf>
    </rfmt>
    <rfmt sheetId="1" sqref="C527" start="0" length="0">
      <dxf>
        <font>
          <b/>
          <sz val="11"/>
          <color theme="1"/>
          <name val="Calibri"/>
          <family val="2"/>
          <charset val="238"/>
          <scheme val="minor"/>
        </font>
        <fill>
          <patternFill patternType="solid">
            <bgColor rgb="FFFFFF00"/>
          </patternFill>
        </fill>
      </dxf>
    </rfmt>
    <rfmt sheetId="1" sqref="D527" start="0" length="0">
      <dxf>
        <fill>
          <patternFill patternType="solid">
            <bgColor rgb="FFFFFF00"/>
          </patternFill>
        </fill>
      </dxf>
    </rfmt>
    <rfmt sheetId="1" sqref="F527" start="0" length="0">
      <dxf>
        <fill>
          <patternFill patternType="solid">
            <bgColor rgb="FFFFFF00"/>
          </patternFill>
        </fill>
      </dxf>
    </rfmt>
    <rfmt sheetId="1" sqref="G527" start="0" length="0">
      <dxf>
        <alignment horizontal="left" vertical="top"/>
      </dxf>
    </rfmt>
    <rfmt sheetId="1" sqref="H527" start="0" length="0">
      <dxf>
        <alignment horizontal="left" vertical="top"/>
      </dxf>
    </rfmt>
    <rfmt sheetId="1" sqref="I527" start="0" length="0">
      <dxf>
        <fill>
          <patternFill patternType="solid">
            <bgColor rgb="FFFFFF00"/>
          </patternFill>
        </fill>
        <alignment horizontal="center" vertical="top"/>
      </dxf>
    </rfmt>
    <rfmt sheetId="1" sqref="K527" start="0" length="0">
      <dxf>
        <fill>
          <patternFill patternType="solid">
            <bgColor theme="0"/>
          </patternFill>
        </fill>
        <alignment horizontal="center" vertical="top"/>
      </dxf>
    </rfmt>
    <rfmt sheetId="1" sqref="L527" start="0" length="0">
      <dxf>
        <alignment horizontal="center" vertical="top"/>
      </dxf>
    </rfmt>
    <rfmt sheetId="1" sqref="M527" start="0" length="0">
      <dxf>
        <alignment horizontal="center" vertical="top"/>
      </dxf>
    </rfmt>
    <rfmt sheetId="1" sqref="N527" start="0" length="0">
      <dxf>
        <alignment horizontal="center" vertical="top"/>
      </dxf>
    </rfmt>
    <rfmt sheetId="1" sqref="O527" start="0" length="0">
      <dxf>
        <alignment horizontal="center" vertical="top"/>
      </dxf>
    </rfmt>
    <rfmt sheetId="1" sqref="P527" start="0" length="0">
      <dxf>
        <alignment horizontal="center" vertical="top"/>
      </dxf>
    </rfmt>
    <rfmt sheetId="1" sqref="Q527" start="0" length="0">
      <dxf>
        <alignment horizontal="center" vertical="top"/>
      </dxf>
    </rfmt>
    <rfmt sheetId="1" sqref="R527" start="0" length="0">
      <dxf>
        <alignment horizontal="center" vertical="top"/>
      </dxf>
    </rfmt>
    <rfmt sheetId="1" sqref="T527" start="0" length="0">
      <dxf>
        <fill>
          <patternFill patternType="solid">
            <bgColor rgb="FFFFFF00"/>
          </patternFill>
        </fill>
      </dxf>
    </rfmt>
    <rfmt sheetId="1" sqref="U527" start="0" length="0">
      <dxf>
        <fill>
          <patternFill patternType="solid">
            <bgColor rgb="FFFFFF00"/>
          </patternFill>
        </fill>
      </dxf>
    </rfmt>
    <rfmt sheetId="1" sqref="W527" start="0" length="0">
      <dxf>
        <fill>
          <patternFill patternType="solid">
            <bgColor rgb="FFFFFF00"/>
          </patternFill>
        </fill>
      </dxf>
    </rfmt>
    <rfmt sheetId="1" sqref="X527" start="0" length="0">
      <dxf>
        <fill>
          <patternFill patternType="solid">
            <bgColor rgb="FFFFFF00"/>
          </patternFill>
        </fill>
      </dxf>
    </rfmt>
    <rfmt sheetId="1" sqref="Z527" start="0" length="0">
      <dxf>
        <fill>
          <patternFill patternType="solid">
            <bgColor rgb="FFFFFF00"/>
          </patternFill>
        </fill>
      </dxf>
    </rfmt>
    <rfmt sheetId="1" sqref="AA527" start="0" length="0">
      <dxf>
        <fill>
          <patternFill patternType="solid">
            <bgColor rgb="FFFFFF00"/>
          </patternFill>
        </fill>
      </dxf>
    </rfmt>
    <rfmt sheetId="1" sqref="AC527" start="0" length="0">
      <dxf>
        <fill>
          <patternFill patternType="solid">
            <bgColor rgb="FFFFFF00"/>
          </patternFill>
        </fill>
      </dxf>
    </rfmt>
    <rfmt sheetId="1" sqref="AD527" start="0" length="0">
      <dxf>
        <fill>
          <patternFill patternType="solid">
            <bgColor rgb="FFFFFF00"/>
          </patternFill>
        </fill>
      </dxf>
    </rfmt>
    <rcc rId="0" sId="1" dxf="1">
      <nc r="AE527">
        <f>AE507</f>
      </nc>
      <ndxf>
        <numFmt numFmtId="165" formatCode="#,##0.00_ ;\-#,##0.00\ "/>
        <fill>
          <patternFill patternType="solid">
            <bgColor theme="0"/>
          </patternFill>
        </fill>
      </ndxf>
    </rcc>
    <rfmt sheetId="1" sqref="AG527" start="0" length="0">
      <dxf>
        <numFmt numFmtId="165" formatCode="#,##0.00_ ;\-#,##0.00\ "/>
      </dxf>
    </rfmt>
    <rfmt sheetId="1" sqref="AI527" start="0" length="0">
      <dxf>
        <alignment vertical="top" wrapText="1"/>
      </dxf>
    </rfmt>
    <rfmt sheetId="1" sqref="AJ527" start="0" length="0">
      <dxf>
        <numFmt numFmtId="4" formatCode="#,##0.00"/>
      </dxf>
    </rfmt>
  </rrc>
  <rrc rId="5160" sId="1" ref="A527:XFD527" action="deleteRow">
    <undo index="65535" exp="area" ref3D="1" dr="$H$1:$N$1048576" dn="Z_65B035E3_87FA_46C5_996E_864F2C8D0EBC_.wvu.Cols" sId="1"/>
    <rfmt sheetId="1" xfDxf="1" sqref="A527:XFD527" start="0" length="0"/>
    <rfmt sheetId="1" sqref="B527" start="0" length="0">
      <dxf>
        <fill>
          <patternFill patternType="solid">
            <bgColor rgb="FFFFFF00"/>
          </patternFill>
        </fill>
      </dxf>
    </rfmt>
    <rfmt sheetId="1" sqref="C527" start="0" length="0">
      <dxf>
        <font>
          <b/>
          <sz val="11"/>
          <color theme="1"/>
          <name val="Calibri"/>
          <family val="2"/>
          <charset val="238"/>
          <scheme val="minor"/>
        </font>
        <fill>
          <patternFill patternType="solid">
            <bgColor rgb="FFFFFF00"/>
          </patternFill>
        </fill>
      </dxf>
    </rfmt>
    <rfmt sheetId="1" sqref="D527" start="0" length="0">
      <dxf>
        <fill>
          <patternFill patternType="solid">
            <bgColor rgb="FFFFFF00"/>
          </patternFill>
        </fill>
      </dxf>
    </rfmt>
    <rfmt sheetId="1" sqref="F527" start="0" length="0">
      <dxf>
        <fill>
          <patternFill patternType="solid">
            <bgColor rgb="FFFFFF00"/>
          </patternFill>
        </fill>
      </dxf>
    </rfmt>
    <rfmt sheetId="1" sqref="G527" start="0" length="0">
      <dxf>
        <alignment horizontal="left" vertical="top"/>
      </dxf>
    </rfmt>
    <rfmt sheetId="1" sqref="H527" start="0" length="0">
      <dxf>
        <alignment horizontal="left" vertical="top"/>
      </dxf>
    </rfmt>
    <rfmt sheetId="1" sqref="I527" start="0" length="0">
      <dxf>
        <fill>
          <patternFill patternType="solid">
            <bgColor rgb="FFFFFF00"/>
          </patternFill>
        </fill>
        <alignment horizontal="center" vertical="top"/>
      </dxf>
    </rfmt>
    <rfmt sheetId="1" sqref="K527" start="0" length="0">
      <dxf>
        <fill>
          <patternFill patternType="solid">
            <bgColor theme="0"/>
          </patternFill>
        </fill>
        <alignment horizontal="center" vertical="top"/>
      </dxf>
    </rfmt>
    <rfmt sheetId="1" sqref="L527" start="0" length="0">
      <dxf>
        <alignment horizontal="center" vertical="top"/>
      </dxf>
    </rfmt>
    <rfmt sheetId="1" sqref="M527" start="0" length="0">
      <dxf>
        <alignment horizontal="center" vertical="top"/>
      </dxf>
    </rfmt>
    <rfmt sheetId="1" sqref="N527" start="0" length="0">
      <dxf>
        <alignment horizontal="center" vertical="top"/>
      </dxf>
    </rfmt>
    <rfmt sheetId="1" sqref="O527" start="0" length="0">
      <dxf>
        <alignment horizontal="center" vertical="top"/>
      </dxf>
    </rfmt>
    <rfmt sheetId="1" sqref="P527" start="0" length="0">
      <dxf>
        <alignment horizontal="center" vertical="top"/>
      </dxf>
    </rfmt>
    <rfmt sheetId="1" sqref="Q527" start="0" length="0">
      <dxf>
        <alignment horizontal="center" vertical="top"/>
      </dxf>
    </rfmt>
    <rfmt sheetId="1" sqref="R527" start="0" length="0">
      <dxf>
        <alignment horizontal="center" vertical="top"/>
      </dxf>
    </rfmt>
    <rfmt sheetId="1" sqref="S527" start="0" length="0">
      <dxf>
        <numFmt numFmtId="165" formatCode="#,##0.00_ ;\-#,##0.00\ "/>
      </dxf>
    </rfmt>
    <rfmt sheetId="1" sqref="T527" start="0" length="0">
      <dxf>
        <fill>
          <patternFill patternType="solid">
            <bgColor rgb="FFFFFF00"/>
          </patternFill>
        </fill>
      </dxf>
    </rfmt>
    <rfmt sheetId="1" sqref="U527" start="0" length="0">
      <dxf>
        <fill>
          <patternFill patternType="solid">
            <bgColor rgb="FFFFFF00"/>
          </patternFill>
        </fill>
      </dxf>
    </rfmt>
    <rfmt sheetId="1" sqref="W527" start="0" length="0">
      <dxf>
        <fill>
          <patternFill patternType="solid">
            <bgColor rgb="FFFFFF00"/>
          </patternFill>
        </fill>
      </dxf>
    </rfmt>
    <rfmt sheetId="1" sqref="X527" start="0" length="0">
      <dxf>
        <fill>
          <patternFill patternType="solid">
            <bgColor rgb="FFFFFF00"/>
          </patternFill>
        </fill>
      </dxf>
    </rfmt>
    <rfmt sheetId="1" sqref="Z527" start="0" length="0">
      <dxf>
        <fill>
          <patternFill patternType="solid">
            <bgColor rgb="FFFFFF00"/>
          </patternFill>
        </fill>
      </dxf>
    </rfmt>
    <rfmt sheetId="1" sqref="AA527" start="0" length="0">
      <dxf>
        <fill>
          <patternFill patternType="solid">
            <bgColor rgb="FFFFFF00"/>
          </patternFill>
        </fill>
      </dxf>
    </rfmt>
    <rfmt sheetId="1" sqref="AC527" start="0" length="0">
      <dxf>
        <fill>
          <patternFill patternType="solid">
            <bgColor rgb="FFFFFF00"/>
          </patternFill>
        </fill>
      </dxf>
    </rfmt>
    <rfmt sheetId="1" sqref="AD527" start="0" length="0">
      <dxf>
        <fill>
          <patternFill patternType="solid">
            <bgColor rgb="FFFFFF00"/>
          </patternFill>
        </fill>
      </dxf>
    </rfmt>
    <rfmt sheetId="1" sqref="AE527" start="0" length="0">
      <dxf>
        <fill>
          <patternFill patternType="solid">
            <bgColor theme="0"/>
          </patternFill>
        </fill>
      </dxf>
    </rfmt>
    <rfmt sheetId="1" sqref="AI527" start="0" length="0">
      <dxf>
        <alignment vertical="top" wrapText="1"/>
      </dxf>
    </rfmt>
  </rrc>
  <rrc rId="5161" sId="1" ref="A527:XFD527" action="deleteRow">
    <undo index="65535" exp="area" ref3D="1" dr="$C$1:$C$527" dn="Z_59EBF1CB_AF85_469A_B1D0_E57CB0203158_.wvu.FilterData" sId="1"/>
    <undo index="65535" exp="area" ref3D="1" dr="$C$1:$C$527" dn="Z_4C2A0B30_0070_415E_A110_A9BCC2779710_.wvu.FilterData" sId="1"/>
    <undo index="65535" exp="area" ref3D="1" dr="$C$1:$C$527" dn="Z_15F03B40_FCDD_463A_AE42_63F6121ACBED_.wvu.FilterData" sId="1"/>
    <undo index="65535" exp="area" ref3D="1" dr="$B$1:$B$527" dn="Z_A093D1FA_1747_4946_A02E_7D721604BB07_.wvu.FilterData" sId="1"/>
    <undo index="65535" exp="area" ref3D="1" dr="$B$1:$B$527" dn="Z_905D93EA_5662_45AB_8995_A9908B3E5D52_.wvu.FilterData" sId="1"/>
    <undo index="65535" exp="area" ref3D="1" dr="$C$1:$C$527" dn="Z_7C389A6C_C379_45EF_8779_FEC15F27C7E7_.wvu.FilterData" sId="1"/>
    <undo index="65535" exp="area" ref3D="1" dr="$H$1:$N$1048576" dn="Z_65B035E3_87FA_46C5_996E_864F2C8D0EBC_.wvu.Cols" sId="1"/>
    <rfmt sheetId="1" xfDxf="1" sqref="A527:XFD527" start="0" length="0"/>
    <rfmt sheetId="1" sqref="B527" start="0" length="0">
      <dxf>
        <fill>
          <patternFill patternType="solid">
            <bgColor rgb="FFFFFF00"/>
          </patternFill>
        </fill>
      </dxf>
    </rfmt>
    <rfmt sheetId="1" sqref="C527" start="0" length="0">
      <dxf>
        <font>
          <b/>
          <sz val="11"/>
          <color theme="1"/>
          <name val="Calibri"/>
          <family val="2"/>
          <charset val="238"/>
          <scheme val="minor"/>
        </font>
        <fill>
          <patternFill patternType="solid">
            <bgColor rgb="FFFFFF00"/>
          </patternFill>
        </fill>
      </dxf>
    </rfmt>
    <rfmt sheetId="1" sqref="D527" start="0" length="0">
      <dxf>
        <fill>
          <patternFill patternType="solid">
            <bgColor rgb="FFFFFF00"/>
          </patternFill>
        </fill>
      </dxf>
    </rfmt>
    <rfmt sheetId="1" sqref="F527" start="0" length="0">
      <dxf>
        <fill>
          <patternFill patternType="solid">
            <bgColor rgb="FFFFFF00"/>
          </patternFill>
        </fill>
      </dxf>
    </rfmt>
    <rfmt sheetId="1" sqref="G527" start="0" length="0">
      <dxf>
        <alignment horizontal="left" vertical="top"/>
      </dxf>
    </rfmt>
    <rfmt sheetId="1" sqref="H527" start="0" length="0">
      <dxf>
        <alignment horizontal="left" vertical="top"/>
      </dxf>
    </rfmt>
    <rfmt sheetId="1" sqref="I527" start="0" length="0">
      <dxf>
        <fill>
          <patternFill patternType="solid">
            <bgColor rgb="FFFFFF00"/>
          </patternFill>
        </fill>
        <alignment horizontal="center" vertical="top"/>
      </dxf>
    </rfmt>
    <rfmt sheetId="1" sqref="K527" start="0" length="0">
      <dxf>
        <fill>
          <patternFill patternType="solid">
            <bgColor theme="0"/>
          </patternFill>
        </fill>
        <alignment horizontal="center" vertical="top"/>
      </dxf>
    </rfmt>
    <rfmt sheetId="1" sqref="L527" start="0" length="0">
      <dxf>
        <alignment horizontal="center" vertical="top"/>
      </dxf>
    </rfmt>
    <rfmt sheetId="1" sqref="M527" start="0" length="0">
      <dxf>
        <alignment horizontal="center" vertical="top"/>
      </dxf>
    </rfmt>
    <rfmt sheetId="1" sqref="N527" start="0" length="0">
      <dxf>
        <alignment horizontal="center" vertical="top"/>
      </dxf>
    </rfmt>
    <rfmt sheetId="1" sqref="O527" start="0" length="0">
      <dxf>
        <alignment horizontal="center" vertical="top"/>
      </dxf>
    </rfmt>
    <rfmt sheetId="1" sqref="P527" start="0" length="0">
      <dxf>
        <alignment horizontal="center" vertical="top"/>
      </dxf>
    </rfmt>
    <rfmt sheetId="1" sqref="Q527" start="0" length="0">
      <dxf>
        <alignment horizontal="center" vertical="top"/>
      </dxf>
    </rfmt>
    <rfmt sheetId="1" sqref="R527" start="0" length="0">
      <dxf>
        <alignment horizontal="center" vertical="top"/>
      </dxf>
    </rfmt>
    <rfmt sheetId="1" sqref="S527" start="0" length="0">
      <dxf>
        <numFmt numFmtId="35" formatCode="_-* #,##0.00\ _l_e_i_-;\-* #,##0.00\ _l_e_i_-;_-* &quot;-&quot;??\ _l_e_i_-;_-@_-"/>
      </dxf>
    </rfmt>
    <rfmt sheetId="1" sqref="T527" start="0" length="0">
      <dxf>
        <numFmt numFmtId="35" formatCode="_-* #,##0.00\ _l_e_i_-;\-* #,##0.00\ _l_e_i_-;_-* &quot;-&quot;??\ _l_e_i_-;_-@_-"/>
      </dxf>
    </rfmt>
    <rfmt sheetId="1" sqref="U527" start="0" length="0">
      <dxf>
        <numFmt numFmtId="35" formatCode="_-* #,##0.00\ _l_e_i_-;\-* #,##0.00\ _l_e_i_-;_-* &quot;-&quot;??\ _l_e_i_-;_-@_-"/>
      </dxf>
    </rfmt>
    <rfmt sheetId="1" sqref="V527" start="0" length="0">
      <dxf>
        <numFmt numFmtId="35" formatCode="_-* #,##0.00\ _l_e_i_-;\-* #,##0.00\ _l_e_i_-;_-* &quot;-&quot;??\ _l_e_i_-;_-@_-"/>
      </dxf>
    </rfmt>
    <rfmt sheetId="1" sqref="W527" start="0" length="0">
      <dxf>
        <numFmt numFmtId="35" formatCode="_-* #,##0.00\ _l_e_i_-;\-* #,##0.00\ _l_e_i_-;_-* &quot;-&quot;??\ _l_e_i_-;_-@_-"/>
      </dxf>
    </rfmt>
    <rfmt sheetId="1" sqref="X527" start="0" length="0">
      <dxf>
        <numFmt numFmtId="35" formatCode="_-* #,##0.00\ _l_e_i_-;\-* #,##0.00\ _l_e_i_-;_-* &quot;-&quot;??\ _l_e_i_-;_-@_-"/>
      </dxf>
    </rfmt>
    <rfmt sheetId="1" sqref="Y527" start="0" length="0">
      <dxf>
        <numFmt numFmtId="35" formatCode="_-* #,##0.00\ _l_e_i_-;\-* #,##0.00\ _l_e_i_-;_-* &quot;-&quot;??\ _l_e_i_-;_-@_-"/>
      </dxf>
    </rfmt>
    <rfmt sheetId="1" sqref="Z527" start="0" length="0">
      <dxf>
        <numFmt numFmtId="35" formatCode="_-* #,##0.00\ _l_e_i_-;\-* #,##0.00\ _l_e_i_-;_-* &quot;-&quot;??\ _l_e_i_-;_-@_-"/>
      </dxf>
    </rfmt>
    <rfmt sheetId="1" sqref="AA527" start="0" length="0">
      <dxf>
        <numFmt numFmtId="35" formatCode="_-* #,##0.00\ _l_e_i_-;\-* #,##0.00\ _l_e_i_-;_-* &quot;-&quot;??\ _l_e_i_-;_-@_-"/>
      </dxf>
    </rfmt>
    <rfmt sheetId="1" sqref="AB527" start="0" length="0">
      <dxf>
        <numFmt numFmtId="35" formatCode="_-* #,##0.00\ _l_e_i_-;\-* #,##0.00\ _l_e_i_-;_-* &quot;-&quot;??\ _l_e_i_-;_-@_-"/>
      </dxf>
    </rfmt>
    <rfmt sheetId="1" sqref="AC527" start="0" length="0">
      <dxf>
        <numFmt numFmtId="35" formatCode="_-* #,##0.00\ _l_e_i_-;\-* #,##0.00\ _l_e_i_-;_-* &quot;-&quot;??\ _l_e_i_-;_-@_-"/>
      </dxf>
    </rfmt>
    <rfmt sheetId="1" sqref="AD527" start="0" length="0">
      <dxf>
        <numFmt numFmtId="35" formatCode="_-* #,##0.00\ _l_e_i_-;\-* #,##0.00\ _l_e_i_-;_-* &quot;-&quot;??\ _l_e_i_-;_-@_-"/>
      </dxf>
    </rfmt>
    <rfmt sheetId="1" sqref="AE527" start="0" length="0">
      <dxf>
        <numFmt numFmtId="35" formatCode="_-* #,##0.00\ _l_e_i_-;\-* #,##0.00\ _l_e_i_-;_-* &quot;-&quot;??\ _l_e_i_-;_-@_-"/>
      </dxf>
    </rfmt>
    <rfmt sheetId="1" sqref="AF527" start="0" length="0">
      <dxf>
        <numFmt numFmtId="35" formatCode="_-* #,##0.00\ _l_e_i_-;\-* #,##0.00\ _l_e_i_-;_-* &quot;-&quot;??\ _l_e_i_-;_-@_-"/>
      </dxf>
    </rfmt>
    <rfmt sheetId="1" sqref="AG527" start="0" length="0">
      <dxf>
        <numFmt numFmtId="35" formatCode="_-* #,##0.00\ _l_e_i_-;\-* #,##0.00\ _l_e_i_-;_-* &quot;-&quot;??\ _l_e_i_-;_-@_-"/>
      </dxf>
    </rfmt>
    <rfmt sheetId="1" sqref="AI527" start="0" length="0">
      <dxf>
        <alignment vertical="top" wrapText="1"/>
      </dxf>
    </rfmt>
  </rrc>
  <rrc rId="5162" sId="1" ref="A527:XFD527" action="deleteRow">
    <undo index="65535" exp="area" ref3D="1" dr="$H$1:$N$1048576" dn="Z_65B035E3_87FA_46C5_996E_864F2C8D0EBC_.wvu.Cols" sId="1"/>
    <rfmt sheetId="1" xfDxf="1" sqref="A527:XFD527" start="0" length="0"/>
    <rfmt sheetId="1" sqref="B527" start="0" length="0">
      <dxf>
        <fill>
          <patternFill patternType="solid">
            <bgColor rgb="FFFFFF00"/>
          </patternFill>
        </fill>
      </dxf>
    </rfmt>
    <rfmt sheetId="1" sqref="C527" start="0" length="0">
      <dxf>
        <font>
          <b/>
          <sz val="11"/>
          <color theme="1"/>
          <name val="Calibri"/>
          <family val="2"/>
          <charset val="238"/>
          <scheme val="minor"/>
        </font>
        <fill>
          <patternFill patternType="solid">
            <bgColor rgb="FFFFFF00"/>
          </patternFill>
        </fill>
      </dxf>
    </rfmt>
    <rfmt sheetId="1" sqref="D527" start="0" length="0">
      <dxf>
        <fill>
          <patternFill patternType="solid">
            <bgColor rgb="FFFFFF00"/>
          </patternFill>
        </fill>
      </dxf>
    </rfmt>
    <rfmt sheetId="1" sqref="F527" start="0" length="0">
      <dxf>
        <fill>
          <patternFill patternType="solid">
            <bgColor rgb="FFFFFF00"/>
          </patternFill>
        </fill>
      </dxf>
    </rfmt>
    <rfmt sheetId="1" sqref="G527" start="0" length="0">
      <dxf>
        <alignment horizontal="left" vertical="top"/>
      </dxf>
    </rfmt>
    <rfmt sheetId="1" sqref="H527" start="0" length="0">
      <dxf>
        <alignment horizontal="left" vertical="top"/>
      </dxf>
    </rfmt>
    <rfmt sheetId="1" sqref="I527" start="0" length="0">
      <dxf>
        <fill>
          <patternFill patternType="solid">
            <bgColor rgb="FFFFFF00"/>
          </patternFill>
        </fill>
        <alignment horizontal="center" vertical="top"/>
      </dxf>
    </rfmt>
    <rfmt sheetId="1" sqref="K527" start="0" length="0">
      <dxf>
        <fill>
          <patternFill patternType="solid">
            <bgColor theme="0"/>
          </patternFill>
        </fill>
        <alignment horizontal="center" vertical="top"/>
      </dxf>
    </rfmt>
    <rfmt sheetId="1" sqref="L527" start="0" length="0">
      <dxf>
        <alignment horizontal="center" vertical="top"/>
      </dxf>
    </rfmt>
    <rfmt sheetId="1" sqref="M527" start="0" length="0">
      <dxf>
        <alignment horizontal="center" vertical="top"/>
      </dxf>
    </rfmt>
    <rfmt sheetId="1" sqref="N527" start="0" length="0">
      <dxf>
        <alignment horizontal="center" vertical="top"/>
      </dxf>
    </rfmt>
    <rfmt sheetId="1" sqref="O527" start="0" length="0">
      <dxf>
        <alignment horizontal="center" vertical="top"/>
      </dxf>
    </rfmt>
    <rfmt sheetId="1" sqref="P527" start="0" length="0">
      <dxf>
        <alignment horizontal="center" vertical="top"/>
      </dxf>
    </rfmt>
    <rfmt sheetId="1" sqref="Q527" start="0" length="0">
      <dxf>
        <alignment horizontal="center" vertical="top"/>
      </dxf>
    </rfmt>
    <rfmt sheetId="1" sqref="R527" start="0" length="0">
      <dxf>
        <alignment horizontal="center" vertical="top"/>
      </dxf>
    </rfmt>
    <rfmt sheetId="1" sqref="T527" start="0" length="0">
      <dxf>
        <fill>
          <patternFill patternType="solid">
            <bgColor rgb="FFFFFF00"/>
          </patternFill>
        </fill>
      </dxf>
    </rfmt>
    <rfmt sheetId="1" sqref="U527" start="0" length="0">
      <dxf>
        <fill>
          <patternFill patternType="solid">
            <bgColor rgb="FFFFFF00"/>
          </patternFill>
        </fill>
      </dxf>
    </rfmt>
    <rfmt sheetId="1" sqref="W527" start="0" length="0">
      <dxf>
        <fill>
          <patternFill patternType="solid">
            <bgColor rgb="FFFFFF00"/>
          </patternFill>
        </fill>
      </dxf>
    </rfmt>
    <rfmt sheetId="1" sqref="X527" start="0" length="0">
      <dxf>
        <fill>
          <patternFill patternType="solid">
            <bgColor rgb="FFFFFF00"/>
          </patternFill>
        </fill>
      </dxf>
    </rfmt>
    <rfmt sheetId="1" sqref="Z527" start="0" length="0">
      <dxf>
        <fill>
          <patternFill patternType="solid">
            <bgColor rgb="FFFFFF00"/>
          </patternFill>
        </fill>
      </dxf>
    </rfmt>
    <rfmt sheetId="1" sqref="AA527" start="0" length="0">
      <dxf>
        <fill>
          <patternFill patternType="solid">
            <bgColor rgb="FFFFFF00"/>
          </patternFill>
        </fill>
      </dxf>
    </rfmt>
    <rfmt sheetId="1" sqref="AC527" start="0" length="0">
      <dxf>
        <fill>
          <patternFill patternType="solid">
            <bgColor rgb="FFFFFF00"/>
          </patternFill>
        </fill>
      </dxf>
    </rfmt>
    <rfmt sheetId="1" sqref="AD527" start="0" length="0">
      <dxf>
        <fill>
          <patternFill patternType="solid">
            <bgColor rgb="FFFFFF00"/>
          </patternFill>
        </fill>
      </dxf>
    </rfmt>
    <rfmt sheetId="1" sqref="AE527" start="0" length="0">
      <dxf>
        <fill>
          <patternFill patternType="solid">
            <bgColor theme="0"/>
          </patternFill>
        </fill>
      </dxf>
    </rfmt>
    <rfmt sheetId="1" sqref="AI527" start="0" length="0">
      <dxf>
        <alignment vertical="top" wrapText="1"/>
      </dxf>
    </rfmt>
  </rrc>
  <rrc rId="5163" sId="1" ref="A527:XFD527" action="deleteRow">
    <undo index="65535" exp="area" ref3D="1" dr="$H$1:$N$1048576" dn="Z_65B035E3_87FA_46C5_996E_864F2C8D0EBC_.wvu.Cols" sId="1"/>
    <rfmt sheetId="1" xfDxf="1" sqref="A527:XFD527" start="0" length="0"/>
    <rfmt sheetId="1" sqref="B527" start="0" length="0">
      <dxf>
        <fill>
          <patternFill patternType="solid">
            <bgColor rgb="FFFFFF00"/>
          </patternFill>
        </fill>
      </dxf>
    </rfmt>
    <rfmt sheetId="1" sqref="C527" start="0" length="0">
      <dxf>
        <font>
          <b/>
          <sz val="11"/>
          <color theme="1"/>
          <name val="Calibri"/>
          <family val="2"/>
          <charset val="238"/>
          <scheme val="minor"/>
        </font>
        <fill>
          <patternFill patternType="solid">
            <bgColor rgb="FFFFFF00"/>
          </patternFill>
        </fill>
      </dxf>
    </rfmt>
    <rfmt sheetId="1" sqref="D527" start="0" length="0">
      <dxf>
        <fill>
          <patternFill patternType="solid">
            <bgColor rgb="FFFFFF00"/>
          </patternFill>
        </fill>
      </dxf>
    </rfmt>
    <rfmt sheetId="1" sqref="F527" start="0" length="0">
      <dxf>
        <fill>
          <patternFill patternType="solid">
            <bgColor rgb="FFFFFF00"/>
          </patternFill>
        </fill>
      </dxf>
    </rfmt>
    <rfmt sheetId="1" sqref="G527" start="0" length="0">
      <dxf>
        <alignment horizontal="left" vertical="top"/>
      </dxf>
    </rfmt>
    <rfmt sheetId="1" sqref="H527" start="0" length="0">
      <dxf>
        <alignment horizontal="left" vertical="top"/>
      </dxf>
    </rfmt>
    <rfmt sheetId="1" sqref="I527" start="0" length="0">
      <dxf>
        <fill>
          <patternFill patternType="solid">
            <bgColor rgb="FFFFFF00"/>
          </patternFill>
        </fill>
        <alignment horizontal="center" vertical="top"/>
      </dxf>
    </rfmt>
    <rfmt sheetId="1" sqref="K527" start="0" length="0">
      <dxf>
        <fill>
          <patternFill patternType="solid">
            <bgColor theme="0"/>
          </patternFill>
        </fill>
        <alignment horizontal="center" vertical="top"/>
      </dxf>
    </rfmt>
    <rfmt sheetId="1" sqref="L527" start="0" length="0">
      <dxf>
        <alignment horizontal="center" vertical="top"/>
      </dxf>
    </rfmt>
    <rfmt sheetId="1" sqref="M527" start="0" length="0">
      <dxf>
        <alignment horizontal="center" vertical="top"/>
      </dxf>
    </rfmt>
    <rfmt sheetId="1" sqref="N527" start="0" length="0">
      <dxf>
        <alignment horizontal="center" vertical="top"/>
      </dxf>
    </rfmt>
    <rfmt sheetId="1" sqref="O527" start="0" length="0">
      <dxf>
        <alignment horizontal="center" vertical="top"/>
      </dxf>
    </rfmt>
    <rfmt sheetId="1" sqref="P527" start="0" length="0">
      <dxf>
        <alignment horizontal="center" vertical="top"/>
      </dxf>
    </rfmt>
    <rfmt sheetId="1" sqref="Q527" start="0" length="0">
      <dxf>
        <alignment horizontal="center" vertical="top"/>
      </dxf>
    </rfmt>
    <rfmt sheetId="1" sqref="R527" start="0" length="0">
      <dxf>
        <alignment horizontal="center" vertical="top"/>
      </dxf>
    </rfmt>
    <rfmt sheetId="1" sqref="T527" start="0" length="0">
      <dxf>
        <fill>
          <patternFill patternType="solid">
            <bgColor rgb="FFFFFF00"/>
          </patternFill>
        </fill>
      </dxf>
    </rfmt>
    <rfmt sheetId="1" sqref="U527" start="0" length="0">
      <dxf>
        <fill>
          <patternFill patternType="solid">
            <bgColor rgb="FFFFFF00"/>
          </patternFill>
        </fill>
      </dxf>
    </rfmt>
    <rfmt sheetId="1" sqref="W527" start="0" length="0">
      <dxf>
        <fill>
          <patternFill patternType="solid">
            <bgColor rgb="FFFFFF00"/>
          </patternFill>
        </fill>
      </dxf>
    </rfmt>
    <rfmt sheetId="1" sqref="X527" start="0" length="0">
      <dxf>
        <fill>
          <patternFill patternType="solid">
            <bgColor rgb="FFFFFF00"/>
          </patternFill>
        </fill>
      </dxf>
    </rfmt>
    <rfmt sheetId="1" sqref="Z527" start="0" length="0">
      <dxf>
        <fill>
          <patternFill patternType="solid">
            <bgColor rgb="FFFFFF00"/>
          </patternFill>
        </fill>
      </dxf>
    </rfmt>
    <rfmt sheetId="1" sqref="AA527" start="0" length="0">
      <dxf>
        <fill>
          <patternFill patternType="solid">
            <bgColor rgb="FFFFFF00"/>
          </patternFill>
        </fill>
      </dxf>
    </rfmt>
    <rfmt sheetId="1" sqref="AC527" start="0" length="0">
      <dxf>
        <fill>
          <patternFill patternType="solid">
            <bgColor rgb="FFFFFF00"/>
          </patternFill>
        </fill>
      </dxf>
    </rfmt>
    <rfmt sheetId="1" sqref="AD527" start="0" length="0">
      <dxf>
        <fill>
          <patternFill patternType="solid">
            <bgColor rgb="FFFFFF00"/>
          </patternFill>
        </fill>
      </dxf>
    </rfmt>
    <rfmt sheetId="1" sqref="AE527" start="0" length="0">
      <dxf>
        <fill>
          <patternFill patternType="solid">
            <bgColor theme="0"/>
          </patternFill>
        </fill>
      </dxf>
    </rfmt>
    <rfmt sheetId="1" sqref="AI527" start="0" length="0">
      <dxf>
        <alignment vertical="top" wrapText="1"/>
      </dxf>
    </rfmt>
  </rrc>
  <rrc rId="5164" sId="1" ref="A527:XFD527" action="deleteRow">
    <undo index="0" exp="ref" v="1" dr="AE527" r="AE530" sId="1"/>
    <undo index="0" exp="ref" v="1" dr="W527" r="W530" sId="1"/>
    <undo index="0" exp="ref" v="1" dr="Z527" r="Z529" sId="1"/>
    <undo index="0" exp="ref" v="1" dr="S527" r="S529" sId="1"/>
    <undo index="65535" exp="area" ref3D="1" dr="$H$1:$N$1048576" dn="Z_65B035E3_87FA_46C5_996E_864F2C8D0EBC_.wvu.Cols" sId="1"/>
    <rfmt sheetId="1" xfDxf="1" sqref="A527:XFD527" start="0" length="0"/>
    <rfmt sheetId="1" sqref="B527" start="0" length="0">
      <dxf>
        <fill>
          <patternFill patternType="solid">
            <bgColor rgb="FFFFFF00"/>
          </patternFill>
        </fill>
      </dxf>
    </rfmt>
    <rfmt sheetId="1" sqref="C527" start="0" length="0">
      <dxf>
        <font>
          <b/>
          <sz val="11"/>
          <color theme="1"/>
          <name val="Calibri"/>
          <family val="2"/>
          <charset val="238"/>
          <scheme val="minor"/>
        </font>
        <fill>
          <patternFill patternType="solid">
            <bgColor rgb="FFFFFF00"/>
          </patternFill>
        </fill>
      </dxf>
    </rfmt>
    <rfmt sheetId="1" sqref="D527" start="0" length="0">
      <dxf>
        <fill>
          <patternFill patternType="solid">
            <bgColor rgb="FFFFFF00"/>
          </patternFill>
        </fill>
      </dxf>
    </rfmt>
    <rfmt sheetId="1" sqref="F527" start="0" length="0">
      <dxf>
        <fill>
          <patternFill patternType="solid">
            <bgColor rgb="FFFFFF00"/>
          </patternFill>
        </fill>
      </dxf>
    </rfmt>
    <rfmt sheetId="1" sqref="G527" start="0" length="0">
      <dxf>
        <alignment horizontal="left" vertical="top"/>
      </dxf>
    </rfmt>
    <rfmt sheetId="1" sqref="H527" start="0" length="0">
      <dxf>
        <alignment horizontal="left" vertical="top"/>
      </dxf>
    </rfmt>
    <rfmt sheetId="1" sqref="I527" start="0" length="0">
      <dxf>
        <fill>
          <patternFill patternType="solid">
            <bgColor rgb="FFFFFF00"/>
          </patternFill>
        </fill>
        <alignment horizontal="center" vertical="top"/>
      </dxf>
    </rfmt>
    <rfmt sheetId="1" sqref="K527" start="0" length="0">
      <dxf>
        <fill>
          <patternFill patternType="solid">
            <bgColor theme="0"/>
          </patternFill>
        </fill>
        <alignment horizontal="center" vertical="top"/>
      </dxf>
    </rfmt>
    <rfmt sheetId="1" sqref="L527" start="0" length="0">
      <dxf>
        <alignment horizontal="center" vertical="top"/>
      </dxf>
    </rfmt>
    <rfmt sheetId="1" sqref="M527" start="0" length="0">
      <dxf>
        <alignment horizontal="center" vertical="top"/>
      </dxf>
    </rfmt>
    <rfmt sheetId="1" sqref="N527" start="0" length="0">
      <dxf>
        <alignment horizontal="center" vertical="top"/>
      </dxf>
    </rfmt>
    <rfmt sheetId="1" sqref="O527" start="0" length="0">
      <dxf>
        <alignment horizontal="center" vertical="top"/>
      </dxf>
    </rfmt>
    <rfmt sheetId="1" sqref="P527" start="0" length="0">
      <dxf>
        <alignment horizontal="center" vertical="top"/>
      </dxf>
    </rfmt>
    <rfmt sheetId="1" sqref="Q527" start="0" length="0">
      <dxf>
        <alignment horizontal="center" vertical="top"/>
      </dxf>
    </rfmt>
    <rfmt sheetId="1" sqref="R527" start="0" length="0">
      <dxf>
        <alignment horizontal="center" vertical="top"/>
      </dxf>
    </rfmt>
    <rcc rId="0" sId="1" dxf="1">
      <nc r="S527">
        <f>1112320216.87</f>
      </nc>
      <ndxf>
        <font>
          <sz val="14"/>
          <color theme="1"/>
          <name val="Calibri"/>
          <family val="2"/>
          <charset val="238"/>
          <scheme val="minor"/>
        </font>
        <numFmt numFmtId="4" formatCode="#,##0.00"/>
      </ndxf>
    </rcc>
    <rfmt sheetId="1" sqref="T527" start="0" length="0">
      <dxf>
        <font>
          <sz val="14"/>
          <color theme="1"/>
          <name val="Calibri"/>
          <family val="2"/>
          <charset val="238"/>
          <scheme val="minor"/>
        </font>
        <numFmt numFmtId="4" formatCode="#,##0.00"/>
        <fill>
          <patternFill patternType="solid">
            <bgColor rgb="FFFFFF00"/>
          </patternFill>
        </fill>
      </dxf>
    </rfmt>
    <rfmt sheetId="1" sqref="U527" start="0" length="0">
      <dxf>
        <font>
          <sz val="14"/>
          <color theme="1"/>
          <name val="Calibri"/>
          <family val="2"/>
          <charset val="238"/>
          <scheme val="minor"/>
        </font>
        <numFmt numFmtId="4" formatCode="#,##0.00"/>
        <fill>
          <patternFill patternType="solid">
            <bgColor rgb="FFFFFF00"/>
          </patternFill>
        </fill>
      </dxf>
    </rfmt>
    <rfmt sheetId="1" sqref="V527" start="0" length="0">
      <dxf>
        <font>
          <sz val="14"/>
          <color theme="1"/>
          <name val="Calibri"/>
          <family val="2"/>
          <charset val="238"/>
          <scheme val="minor"/>
        </font>
        <numFmt numFmtId="4" formatCode="#,##0.00"/>
      </dxf>
    </rfmt>
    <rcc rId="0" sId="1" dxf="1" numFmtId="4">
      <nc r="W527">
        <v>35994707.030000001</v>
      </nc>
      <ndxf>
        <font>
          <sz val="14"/>
          <color theme="1"/>
          <name val="Calibri"/>
          <family val="2"/>
          <charset val="238"/>
          <scheme val="minor"/>
        </font>
        <numFmt numFmtId="4" formatCode="#,##0.00"/>
        <fill>
          <patternFill patternType="solid">
            <bgColor rgb="FFFFFF00"/>
          </patternFill>
        </fill>
      </ndxf>
    </rcc>
    <rfmt sheetId="1" sqref="X527" start="0" length="0">
      <dxf>
        <font>
          <sz val="14"/>
          <color theme="1"/>
          <name val="Calibri"/>
          <family val="2"/>
          <charset val="238"/>
          <scheme val="minor"/>
        </font>
        <numFmt numFmtId="4" formatCode="#,##0.00"/>
        <fill>
          <patternFill patternType="solid">
            <bgColor rgb="FFFFFF00"/>
          </patternFill>
        </fill>
      </dxf>
    </rfmt>
    <rfmt sheetId="1" sqref="Y527" start="0" length="0">
      <dxf>
        <font>
          <sz val="14"/>
          <color theme="1"/>
          <name val="Calibri"/>
          <family val="2"/>
          <charset val="238"/>
          <scheme val="minor"/>
        </font>
        <numFmt numFmtId="4" formatCode="#,##0.00"/>
      </dxf>
    </rfmt>
    <rcc rId="0" sId="1" dxf="1" numFmtId="4">
      <nc r="Z527">
        <v>176543747.46000001</v>
      </nc>
      <ndxf>
        <font>
          <sz val="14"/>
          <color theme="1"/>
          <name val="Calibri"/>
          <family val="2"/>
          <charset val="238"/>
          <scheme val="minor"/>
        </font>
        <numFmt numFmtId="4" formatCode="#,##0.00"/>
        <fill>
          <patternFill patternType="solid">
            <bgColor rgb="FFFFFF00"/>
          </patternFill>
        </fill>
      </ndxf>
    </rcc>
    <rfmt sheetId="1" sqref="AA527" start="0" length="0">
      <dxf>
        <font>
          <sz val="14"/>
          <color theme="1"/>
          <name val="Calibri"/>
          <family val="2"/>
          <charset val="238"/>
          <scheme val="minor"/>
        </font>
        <numFmt numFmtId="4" formatCode="#,##0.00"/>
        <fill>
          <patternFill patternType="solid">
            <bgColor rgb="FFFFFF00"/>
          </patternFill>
        </fill>
      </dxf>
    </rfmt>
    <rfmt sheetId="1" sqref="AB527" start="0" length="0">
      <dxf>
        <font>
          <sz val="14"/>
          <color theme="1"/>
          <name val="Calibri"/>
          <family val="2"/>
          <charset val="238"/>
          <scheme val="minor"/>
        </font>
        <numFmt numFmtId="4" formatCode="#,##0.00"/>
      </dxf>
    </rfmt>
    <rfmt sheetId="1" sqref="AC527" start="0" length="0">
      <dxf>
        <font>
          <sz val="14"/>
          <color theme="1"/>
          <name val="Calibri"/>
          <family val="2"/>
          <charset val="238"/>
          <scheme val="minor"/>
        </font>
        <numFmt numFmtId="4" formatCode="#,##0.00"/>
        <fill>
          <patternFill patternType="solid">
            <bgColor rgb="FFFFFF00"/>
          </patternFill>
        </fill>
      </dxf>
    </rfmt>
    <rfmt sheetId="1" sqref="AD527" start="0" length="0">
      <dxf>
        <font>
          <sz val="14"/>
          <color theme="1"/>
          <name val="Calibri"/>
          <family val="2"/>
          <charset val="238"/>
          <scheme val="minor"/>
        </font>
        <numFmt numFmtId="4" formatCode="#,##0.00"/>
        <fill>
          <patternFill patternType="solid">
            <bgColor rgb="FFFFFF00"/>
          </patternFill>
        </fill>
      </dxf>
    </rfmt>
    <rcc rId="0" sId="1" dxf="1" numFmtId="4">
      <nc r="AE527">
        <v>1324858670.3599999</v>
      </nc>
      <ndxf>
        <font>
          <sz val="14"/>
          <color theme="1"/>
          <name val="Calibri"/>
          <family val="2"/>
          <charset val="238"/>
          <scheme val="minor"/>
        </font>
        <numFmt numFmtId="4" formatCode="#,##0.00"/>
        <fill>
          <patternFill patternType="solid">
            <bgColor theme="0"/>
          </patternFill>
        </fill>
      </ndxf>
    </rcc>
    <rfmt sheetId="1" sqref="AI527" start="0" length="0">
      <dxf>
        <alignment vertical="top" wrapText="1"/>
      </dxf>
    </rfmt>
  </rrc>
  <rrc rId="5165" sId="1" ref="A527:XFD527" action="deleteRow">
    <undo index="65535" exp="area" ref3D="1" dr="$H$1:$N$1048576" dn="Z_65B035E3_87FA_46C5_996E_864F2C8D0EBC_.wvu.Cols" sId="1"/>
    <rfmt sheetId="1" xfDxf="1" sqref="A527:XFD527" start="0" length="0"/>
    <rfmt sheetId="1" sqref="B527" start="0" length="0">
      <dxf>
        <fill>
          <patternFill patternType="solid">
            <bgColor rgb="FFFFFF00"/>
          </patternFill>
        </fill>
      </dxf>
    </rfmt>
    <rfmt sheetId="1" sqref="C527" start="0" length="0">
      <dxf>
        <font>
          <b/>
          <sz val="11"/>
          <color theme="1"/>
          <name val="Calibri"/>
          <family val="2"/>
          <charset val="238"/>
          <scheme val="minor"/>
        </font>
        <fill>
          <patternFill patternType="solid">
            <bgColor rgb="FFFFFF00"/>
          </patternFill>
        </fill>
      </dxf>
    </rfmt>
    <rfmt sheetId="1" sqref="D527" start="0" length="0">
      <dxf>
        <fill>
          <patternFill patternType="solid">
            <bgColor rgb="FFFFFF00"/>
          </patternFill>
        </fill>
      </dxf>
    </rfmt>
    <rfmt sheetId="1" sqref="F527" start="0" length="0">
      <dxf>
        <fill>
          <patternFill patternType="solid">
            <bgColor rgb="FFFFFF00"/>
          </patternFill>
        </fill>
      </dxf>
    </rfmt>
    <rfmt sheetId="1" sqref="G527" start="0" length="0">
      <dxf>
        <alignment horizontal="left" vertical="top"/>
      </dxf>
    </rfmt>
    <rfmt sheetId="1" sqref="H527" start="0" length="0">
      <dxf>
        <alignment horizontal="left" vertical="top"/>
      </dxf>
    </rfmt>
    <rfmt sheetId="1" sqref="I527" start="0" length="0">
      <dxf>
        <fill>
          <patternFill patternType="solid">
            <bgColor rgb="FFFFFF00"/>
          </patternFill>
        </fill>
        <alignment horizontal="center" vertical="top"/>
      </dxf>
    </rfmt>
    <rfmt sheetId="1" sqref="K527" start="0" length="0">
      <dxf>
        <fill>
          <patternFill patternType="solid">
            <bgColor theme="0"/>
          </patternFill>
        </fill>
        <alignment horizontal="center" vertical="top"/>
      </dxf>
    </rfmt>
    <rfmt sheetId="1" sqref="L527" start="0" length="0">
      <dxf>
        <alignment horizontal="center" vertical="top"/>
      </dxf>
    </rfmt>
    <rfmt sheetId="1" sqref="M527" start="0" length="0">
      <dxf>
        <alignment horizontal="center" vertical="top"/>
      </dxf>
    </rfmt>
    <rfmt sheetId="1" sqref="N527" start="0" length="0">
      <dxf>
        <alignment horizontal="center" vertical="top"/>
      </dxf>
    </rfmt>
    <rfmt sheetId="1" sqref="O527" start="0" length="0">
      <dxf>
        <alignment horizontal="center" vertical="top"/>
      </dxf>
    </rfmt>
    <rfmt sheetId="1" sqref="P527" start="0" length="0">
      <dxf>
        <alignment horizontal="center" vertical="top"/>
      </dxf>
    </rfmt>
    <rfmt sheetId="1" sqref="Q527" start="0" length="0">
      <dxf>
        <alignment horizontal="center" vertical="top"/>
      </dxf>
    </rfmt>
    <rfmt sheetId="1" sqref="R527" start="0" length="0">
      <dxf>
        <alignment horizontal="center" vertical="top"/>
      </dxf>
    </rfmt>
    <rfmt sheetId="1" sqref="T527" start="0" length="0">
      <dxf>
        <fill>
          <patternFill patternType="solid">
            <bgColor rgb="FFFFFF00"/>
          </patternFill>
        </fill>
      </dxf>
    </rfmt>
    <rfmt sheetId="1" sqref="U527" start="0" length="0">
      <dxf>
        <fill>
          <patternFill patternType="solid">
            <bgColor rgb="FFFFFF00"/>
          </patternFill>
        </fill>
      </dxf>
    </rfmt>
    <rfmt sheetId="1" sqref="W527" start="0" length="0">
      <dxf>
        <fill>
          <patternFill patternType="solid">
            <bgColor rgb="FFFFFF00"/>
          </patternFill>
        </fill>
      </dxf>
    </rfmt>
    <rfmt sheetId="1" sqref="X527" start="0" length="0">
      <dxf>
        <fill>
          <patternFill patternType="solid">
            <bgColor rgb="FFFFFF00"/>
          </patternFill>
        </fill>
      </dxf>
    </rfmt>
    <rfmt sheetId="1" sqref="Z527" start="0" length="0">
      <dxf>
        <fill>
          <patternFill patternType="solid">
            <bgColor rgb="FFFFFF00"/>
          </patternFill>
        </fill>
      </dxf>
    </rfmt>
    <rfmt sheetId="1" sqref="AA527" start="0" length="0">
      <dxf>
        <fill>
          <patternFill patternType="solid">
            <bgColor rgb="FFFFFF00"/>
          </patternFill>
        </fill>
      </dxf>
    </rfmt>
    <rfmt sheetId="1" sqref="AC527" start="0" length="0">
      <dxf>
        <fill>
          <patternFill patternType="solid">
            <bgColor rgb="FFFFFF00"/>
          </patternFill>
        </fill>
      </dxf>
    </rfmt>
    <rfmt sheetId="1" sqref="AD527" start="0" length="0">
      <dxf>
        <fill>
          <patternFill patternType="solid">
            <bgColor rgb="FFFFFF00"/>
          </patternFill>
        </fill>
      </dxf>
    </rfmt>
    <rfmt sheetId="1" sqref="AE527" start="0" length="0">
      <dxf>
        <fill>
          <patternFill patternType="solid">
            <bgColor theme="0"/>
          </patternFill>
        </fill>
      </dxf>
    </rfmt>
    <rfmt sheetId="1" sqref="AI527" start="0" length="0">
      <dxf>
        <alignment vertical="top" wrapText="1"/>
      </dxf>
    </rfmt>
  </rrc>
  <rrc rId="5166" sId="1" ref="A527:XFD527" action="deleteRow">
    <undo index="0" exp="ref" v="1" dr="Z527" r="Z529" sId="1"/>
    <undo index="0" exp="ref" v="1" dr="S527" r="S529" sId="1"/>
    <undo index="65535" exp="area" ref3D="1" dr="$H$1:$N$1048576" dn="Z_65B035E3_87FA_46C5_996E_864F2C8D0EBC_.wvu.Cols" sId="1"/>
    <rfmt sheetId="1" xfDxf="1" sqref="A527:XFD527" start="0" length="0"/>
    <rfmt sheetId="1" sqref="B527" start="0" length="0">
      <dxf>
        <fill>
          <patternFill patternType="solid">
            <bgColor rgb="FFFFFF00"/>
          </patternFill>
        </fill>
      </dxf>
    </rfmt>
    <rfmt sheetId="1" sqref="C527" start="0" length="0">
      <dxf>
        <font>
          <b/>
          <sz val="11"/>
          <color theme="1"/>
          <name val="Calibri"/>
          <family val="2"/>
          <charset val="238"/>
          <scheme val="minor"/>
        </font>
        <fill>
          <patternFill patternType="solid">
            <bgColor rgb="FFFFFF00"/>
          </patternFill>
        </fill>
      </dxf>
    </rfmt>
    <rfmt sheetId="1" sqref="D527" start="0" length="0">
      <dxf>
        <fill>
          <patternFill patternType="solid">
            <bgColor rgb="FFFFFF00"/>
          </patternFill>
        </fill>
      </dxf>
    </rfmt>
    <rfmt sheetId="1" sqref="F527" start="0" length="0">
      <dxf>
        <fill>
          <patternFill patternType="solid">
            <bgColor rgb="FFFFFF00"/>
          </patternFill>
        </fill>
      </dxf>
    </rfmt>
    <rfmt sheetId="1" sqref="G527" start="0" length="0">
      <dxf>
        <alignment horizontal="left" vertical="top"/>
      </dxf>
    </rfmt>
    <rfmt sheetId="1" sqref="H527" start="0" length="0">
      <dxf>
        <alignment horizontal="left" vertical="top"/>
      </dxf>
    </rfmt>
    <rfmt sheetId="1" sqref="I527" start="0" length="0">
      <dxf>
        <fill>
          <patternFill patternType="solid">
            <bgColor rgb="FFFFFF00"/>
          </patternFill>
        </fill>
        <alignment horizontal="center" vertical="top"/>
      </dxf>
    </rfmt>
    <rfmt sheetId="1" sqref="K527" start="0" length="0">
      <dxf>
        <fill>
          <patternFill patternType="solid">
            <bgColor theme="0"/>
          </patternFill>
        </fill>
        <alignment horizontal="center" vertical="top"/>
      </dxf>
    </rfmt>
    <rfmt sheetId="1" sqref="L527" start="0" length="0">
      <dxf>
        <alignment horizontal="center" vertical="top"/>
      </dxf>
    </rfmt>
    <rfmt sheetId="1" sqref="M527" start="0" length="0">
      <dxf>
        <alignment horizontal="center" vertical="top"/>
      </dxf>
    </rfmt>
    <rfmt sheetId="1" sqref="N527" start="0" length="0">
      <dxf>
        <alignment horizontal="center" vertical="top"/>
      </dxf>
    </rfmt>
    <rfmt sheetId="1" sqref="O527" start="0" length="0">
      <dxf>
        <alignment horizontal="center" vertical="top"/>
      </dxf>
    </rfmt>
    <rfmt sheetId="1" sqref="P527" start="0" length="0">
      <dxf>
        <alignment horizontal="center" vertical="top"/>
      </dxf>
    </rfmt>
    <rfmt sheetId="1" sqref="Q527" start="0" length="0">
      <dxf>
        <alignment horizontal="center" vertical="top"/>
      </dxf>
    </rfmt>
    <rfmt sheetId="1" sqref="R527" start="0" length="0">
      <dxf>
        <alignment horizontal="center" vertical="top"/>
      </dxf>
    </rfmt>
    <rcc rId="0" sId="1" dxf="1">
      <nc r="S527">
        <f>#REF!-S524</f>
      </nc>
      <ndxf>
        <numFmt numFmtId="4" formatCode="#,##0.00"/>
      </ndxf>
    </rcc>
    <rfmt sheetId="1" sqref="T527" start="0" length="0">
      <dxf>
        <fill>
          <patternFill patternType="solid">
            <bgColor rgb="FFFFFF00"/>
          </patternFill>
        </fill>
      </dxf>
    </rfmt>
    <rfmt sheetId="1" sqref="U527" start="0" length="0">
      <dxf>
        <fill>
          <patternFill patternType="solid">
            <bgColor rgb="FFFFFF00"/>
          </patternFill>
        </fill>
      </dxf>
    </rfmt>
    <rfmt sheetId="1" sqref="W527" start="0" length="0">
      <dxf>
        <fill>
          <patternFill patternType="solid">
            <bgColor rgb="FFFFFF00"/>
          </patternFill>
        </fill>
      </dxf>
    </rfmt>
    <rfmt sheetId="1" sqref="X527" start="0" length="0">
      <dxf>
        <fill>
          <patternFill patternType="solid">
            <bgColor rgb="FFFFFF00"/>
          </patternFill>
        </fill>
      </dxf>
    </rfmt>
    <rcc rId="0" sId="1" dxf="1">
      <nc r="Z527">
        <f>#REF!-Y524-AB524</f>
      </nc>
      <ndxf>
        <numFmt numFmtId="4" formatCode="#,##0.00"/>
        <fill>
          <patternFill patternType="solid">
            <bgColor rgb="FFFFFF00"/>
          </patternFill>
        </fill>
      </ndxf>
    </rcc>
    <rfmt sheetId="1" sqref="AA527" start="0" length="0">
      <dxf>
        <fill>
          <patternFill patternType="solid">
            <bgColor rgb="FFFFFF00"/>
          </patternFill>
        </fill>
      </dxf>
    </rfmt>
    <rfmt sheetId="1" sqref="AC527" start="0" length="0">
      <dxf>
        <fill>
          <patternFill patternType="solid">
            <bgColor rgb="FFFFFF00"/>
          </patternFill>
        </fill>
      </dxf>
    </rfmt>
    <rfmt sheetId="1" sqref="AD527" start="0" length="0">
      <dxf>
        <fill>
          <patternFill patternType="solid">
            <bgColor rgb="FFFFFF00"/>
          </patternFill>
        </fill>
      </dxf>
    </rfmt>
    <rfmt sheetId="1" sqref="AE527" start="0" length="0">
      <dxf>
        <fill>
          <patternFill patternType="solid">
            <bgColor theme="0"/>
          </patternFill>
        </fill>
      </dxf>
    </rfmt>
    <rfmt sheetId="1" sqref="AI527" start="0" length="0">
      <dxf>
        <alignment vertical="top" wrapText="1"/>
      </dxf>
    </rfmt>
  </rrc>
  <rrc rId="5167" sId="1" ref="A527:XFD527" action="deleteRow">
    <undo index="0" exp="ref" v="1" dr="AE527" r="AE528" sId="1"/>
    <undo index="0" exp="ref" v="1" dr="W527" r="W528" sId="1"/>
    <undo index="65535" exp="area" ref3D="1" dr="$H$1:$N$1048576" dn="Z_65B035E3_87FA_46C5_996E_864F2C8D0EBC_.wvu.Cols" sId="1"/>
    <rfmt sheetId="1" xfDxf="1" sqref="A527:XFD527" start="0" length="0"/>
    <rfmt sheetId="1" sqref="B527" start="0" length="0">
      <dxf>
        <fill>
          <patternFill patternType="solid">
            <bgColor rgb="FFFFFF00"/>
          </patternFill>
        </fill>
      </dxf>
    </rfmt>
    <rfmt sheetId="1" sqref="C527" start="0" length="0">
      <dxf>
        <font>
          <b/>
          <sz val="11"/>
          <color theme="1"/>
          <name val="Calibri"/>
          <family val="2"/>
          <charset val="238"/>
          <scheme val="minor"/>
        </font>
        <fill>
          <patternFill patternType="solid">
            <bgColor rgb="FFFFFF00"/>
          </patternFill>
        </fill>
      </dxf>
    </rfmt>
    <rfmt sheetId="1" sqref="D527" start="0" length="0">
      <dxf>
        <fill>
          <patternFill patternType="solid">
            <bgColor rgb="FFFFFF00"/>
          </patternFill>
        </fill>
      </dxf>
    </rfmt>
    <rfmt sheetId="1" sqref="F527" start="0" length="0">
      <dxf>
        <fill>
          <patternFill patternType="solid">
            <bgColor rgb="FFFFFF00"/>
          </patternFill>
        </fill>
      </dxf>
    </rfmt>
    <rfmt sheetId="1" sqref="G527" start="0" length="0">
      <dxf>
        <alignment horizontal="left" vertical="top"/>
      </dxf>
    </rfmt>
    <rfmt sheetId="1" sqref="H527" start="0" length="0">
      <dxf>
        <alignment horizontal="left" vertical="top"/>
      </dxf>
    </rfmt>
    <rfmt sheetId="1" sqref="I527" start="0" length="0">
      <dxf>
        <fill>
          <patternFill patternType="solid">
            <bgColor rgb="FFFFFF00"/>
          </patternFill>
        </fill>
        <alignment horizontal="center" vertical="top"/>
      </dxf>
    </rfmt>
    <rfmt sheetId="1" sqref="K527" start="0" length="0">
      <dxf>
        <fill>
          <patternFill patternType="solid">
            <bgColor theme="0"/>
          </patternFill>
        </fill>
        <alignment horizontal="center" vertical="top"/>
      </dxf>
    </rfmt>
    <rfmt sheetId="1" sqref="L527" start="0" length="0">
      <dxf>
        <alignment horizontal="center" vertical="top"/>
      </dxf>
    </rfmt>
    <rfmt sheetId="1" sqref="M527" start="0" length="0">
      <dxf>
        <alignment horizontal="center" vertical="top"/>
      </dxf>
    </rfmt>
    <rfmt sheetId="1" sqref="N527" start="0" length="0">
      <dxf>
        <alignment horizontal="center" vertical="top"/>
      </dxf>
    </rfmt>
    <rfmt sheetId="1" sqref="O527" start="0" length="0">
      <dxf>
        <alignment horizontal="center" vertical="top"/>
      </dxf>
    </rfmt>
    <rfmt sheetId="1" sqref="P527" start="0" length="0">
      <dxf>
        <alignment horizontal="center" vertical="top"/>
      </dxf>
    </rfmt>
    <rfmt sheetId="1" sqref="Q527" start="0" length="0">
      <dxf>
        <alignment horizontal="center" vertical="top"/>
      </dxf>
    </rfmt>
    <rfmt sheetId="1" sqref="R527" start="0" length="0">
      <dxf>
        <alignment horizontal="center" vertical="top"/>
      </dxf>
    </rfmt>
    <rfmt sheetId="1" sqref="T527" start="0" length="0">
      <dxf>
        <fill>
          <patternFill patternType="solid">
            <bgColor rgb="FFFFFF00"/>
          </patternFill>
        </fill>
      </dxf>
    </rfmt>
    <rfmt sheetId="1" sqref="U527" start="0" length="0">
      <dxf>
        <fill>
          <patternFill patternType="solid">
            <bgColor rgb="FFFFFF00"/>
          </patternFill>
        </fill>
      </dxf>
    </rfmt>
    <rcc rId="0" sId="1" dxf="1">
      <nc r="W527">
        <f>#REF!-V524</f>
      </nc>
      <ndxf>
        <numFmt numFmtId="4" formatCode="#,##0.00"/>
        <fill>
          <patternFill patternType="solid">
            <bgColor rgb="FFFFFF00"/>
          </patternFill>
        </fill>
      </ndxf>
    </rcc>
    <rfmt sheetId="1" sqref="X527" start="0" length="0">
      <dxf>
        <fill>
          <patternFill patternType="solid">
            <bgColor rgb="FFFFFF00"/>
          </patternFill>
        </fill>
      </dxf>
    </rfmt>
    <rfmt sheetId="1" sqref="Z527" start="0" length="0">
      <dxf>
        <fill>
          <patternFill patternType="solid">
            <bgColor rgb="FFFFFF00"/>
          </patternFill>
        </fill>
      </dxf>
    </rfmt>
    <rfmt sheetId="1" sqref="AA527" start="0" length="0">
      <dxf>
        <fill>
          <patternFill patternType="solid">
            <bgColor rgb="FFFFFF00"/>
          </patternFill>
        </fill>
      </dxf>
    </rfmt>
    <rfmt sheetId="1" sqref="AC527" start="0" length="0">
      <dxf>
        <fill>
          <patternFill patternType="solid">
            <bgColor rgb="FFFFFF00"/>
          </patternFill>
        </fill>
      </dxf>
    </rfmt>
    <rfmt sheetId="1" sqref="AD527" start="0" length="0">
      <dxf>
        <fill>
          <patternFill patternType="solid">
            <bgColor rgb="FFFFFF00"/>
          </patternFill>
        </fill>
      </dxf>
    </rfmt>
    <rcc rId="0" sId="1" dxf="1">
      <nc r="AE527">
        <f>#REF!-AE524</f>
      </nc>
      <ndxf>
        <numFmt numFmtId="4" formatCode="#,##0.00"/>
        <fill>
          <patternFill patternType="solid">
            <bgColor theme="0"/>
          </patternFill>
        </fill>
      </ndxf>
    </rcc>
    <rfmt sheetId="1" sqref="AI527" start="0" length="0">
      <dxf>
        <alignment vertical="top" wrapText="1"/>
      </dxf>
    </rfmt>
  </rrc>
  <rrc rId="5168" sId="1" ref="A527:XFD527" action="deleteRow">
    <undo index="65535" exp="area" ref3D="1" dr="$H$1:$N$1048576" dn="Z_65B035E3_87FA_46C5_996E_864F2C8D0EBC_.wvu.Cols" sId="1"/>
    <rfmt sheetId="1" xfDxf="1" sqref="A527:XFD527" start="0" length="0"/>
    <rfmt sheetId="1" sqref="B527" start="0" length="0">
      <dxf>
        <fill>
          <patternFill patternType="solid">
            <bgColor rgb="FFFFFF00"/>
          </patternFill>
        </fill>
      </dxf>
    </rfmt>
    <rfmt sheetId="1" sqref="C527" start="0" length="0">
      <dxf>
        <font>
          <b/>
          <sz val="11"/>
          <color theme="1"/>
          <name val="Calibri"/>
          <family val="2"/>
          <charset val="238"/>
          <scheme val="minor"/>
        </font>
        <fill>
          <patternFill patternType="solid">
            <bgColor rgb="FFFFFF00"/>
          </patternFill>
        </fill>
      </dxf>
    </rfmt>
    <rfmt sheetId="1" sqref="D527" start="0" length="0">
      <dxf>
        <fill>
          <patternFill patternType="solid">
            <bgColor rgb="FFFFFF00"/>
          </patternFill>
        </fill>
      </dxf>
    </rfmt>
    <rfmt sheetId="1" sqref="F527" start="0" length="0">
      <dxf>
        <fill>
          <patternFill patternType="solid">
            <bgColor rgb="FFFFFF00"/>
          </patternFill>
        </fill>
      </dxf>
    </rfmt>
    <rfmt sheetId="1" sqref="G527" start="0" length="0">
      <dxf>
        <alignment horizontal="left" vertical="top"/>
      </dxf>
    </rfmt>
    <rfmt sheetId="1" sqref="H527" start="0" length="0">
      <dxf>
        <alignment horizontal="left" vertical="top"/>
      </dxf>
    </rfmt>
    <rfmt sheetId="1" sqref="I527" start="0" length="0">
      <dxf>
        <fill>
          <patternFill patternType="solid">
            <bgColor rgb="FFFFFF00"/>
          </patternFill>
        </fill>
        <alignment horizontal="center" vertical="top"/>
      </dxf>
    </rfmt>
    <rfmt sheetId="1" sqref="K527" start="0" length="0">
      <dxf>
        <fill>
          <patternFill patternType="solid">
            <bgColor theme="0"/>
          </patternFill>
        </fill>
        <alignment horizontal="center" vertical="top"/>
      </dxf>
    </rfmt>
    <rfmt sheetId="1" sqref="L527" start="0" length="0">
      <dxf>
        <alignment horizontal="center" vertical="top"/>
      </dxf>
    </rfmt>
    <rfmt sheetId="1" sqref="M527" start="0" length="0">
      <dxf>
        <alignment horizontal="center" vertical="top"/>
      </dxf>
    </rfmt>
    <rfmt sheetId="1" sqref="N527" start="0" length="0">
      <dxf>
        <alignment horizontal="center" vertical="top"/>
      </dxf>
    </rfmt>
    <rfmt sheetId="1" sqref="O527" start="0" length="0">
      <dxf>
        <alignment horizontal="center" vertical="top"/>
      </dxf>
    </rfmt>
    <rfmt sheetId="1" sqref="P527" start="0" length="0">
      <dxf>
        <alignment horizontal="center" vertical="top"/>
      </dxf>
    </rfmt>
    <rfmt sheetId="1" sqref="Q527" start="0" length="0">
      <dxf>
        <alignment horizontal="center" vertical="top"/>
      </dxf>
    </rfmt>
    <rfmt sheetId="1" sqref="R527" start="0" length="0">
      <dxf>
        <alignment horizontal="center" vertical="top"/>
      </dxf>
    </rfmt>
    <rcc rId="0" sId="1" dxf="1">
      <nc r="S527">
        <f>#REF!-361151.03</f>
      </nc>
      <ndxf>
        <numFmt numFmtId="4" formatCode="#,##0.00"/>
      </ndxf>
    </rcc>
    <rfmt sheetId="1" sqref="T527" start="0" length="0">
      <dxf>
        <fill>
          <patternFill patternType="solid">
            <bgColor rgb="FFFFFF00"/>
          </patternFill>
        </fill>
      </dxf>
    </rfmt>
    <rfmt sheetId="1" sqref="U527" start="0" length="0">
      <dxf>
        <fill>
          <patternFill patternType="solid">
            <bgColor rgb="FFFFFF00"/>
          </patternFill>
        </fill>
      </dxf>
    </rfmt>
    <rcc rId="0" sId="1" dxf="1">
      <nc r="W527">
        <f>#REF!-55234.85</f>
      </nc>
      <ndxf>
        <numFmt numFmtId="4" formatCode="#,##0.00"/>
        <fill>
          <patternFill patternType="solid">
            <bgColor rgb="FFFFFF00"/>
          </patternFill>
        </fill>
      </ndxf>
    </rcc>
    <rfmt sheetId="1" sqref="X527" start="0" length="0">
      <dxf>
        <fill>
          <patternFill patternType="solid">
            <bgColor rgb="FFFFFF00"/>
          </patternFill>
        </fill>
      </dxf>
    </rfmt>
    <rcc rId="0" sId="1" dxf="1">
      <nc r="Z527">
        <f>#REF!-8497.67</f>
      </nc>
      <ndxf>
        <numFmt numFmtId="4" formatCode="#,##0.00"/>
        <fill>
          <patternFill patternType="solid">
            <bgColor rgb="FFFFFF00"/>
          </patternFill>
        </fill>
      </ndxf>
    </rcc>
    <rfmt sheetId="1" sqref="AA527" start="0" length="0">
      <dxf>
        <fill>
          <patternFill patternType="solid">
            <bgColor rgb="FFFFFF00"/>
          </patternFill>
        </fill>
      </dxf>
    </rfmt>
    <rfmt sheetId="1" sqref="AC527" start="0" length="0">
      <dxf>
        <fill>
          <patternFill patternType="solid">
            <bgColor rgb="FFFFFF00"/>
          </patternFill>
        </fill>
      </dxf>
    </rfmt>
    <rfmt sheetId="1" sqref="AD527" start="0" length="0">
      <dxf>
        <fill>
          <patternFill patternType="solid">
            <bgColor rgb="FFFFFF00"/>
          </patternFill>
        </fill>
      </dxf>
    </rfmt>
    <rcc rId="0" sId="1" dxf="1">
      <nc r="AE527">
        <f>#REF!-424883.55</f>
      </nc>
      <ndxf>
        <numFmt numFmtId="4" formatCode="#,##0.00"/>
        <fill>
          <patternFill patternType="solid">
            <bgColor theme="0"/>
          </patternFill>
        </fill>
      </ndxf>
    </rcc>
    <rfmt sheetId="1" sqref="AI527" start="0" length="0">
      <dxf>
        <alignment vertical="top" wrapText="1"/>
      </dxf>
    </rfmt>
  </rrc>
  <rrc rId="5169" sId="1" ref="A527:XFD527" action="deleteRow">
    <undo index="65535" exp="area" ref3D="1" dr="$H$1:$N$1048576" dn="Z_65B035E3_87FA_46C5_996E_864F2C8D0EBC_.wvu.Cols" sId="1"/>
    <rfmt sheetId="1" xfDxf="1" sqref="A527:XFD527" start="0" length="0"/>
    <rfmt sheetId="1" sqref="B527" start="0" length="0">
      <dxf>
        <fill>
          <patternFill patternType="solid">
            <bgColor rgb="FFFFFF00"/>
          </patternFill>
        </fill>
      </dxf>
    </rfmt>
    <rfmt sheetId="1" sqref="C527" start="0" length="0">
      <dxf>
        <font>
          <b/>
          <sz val="11"/>
          <color theme="1"/>
          <name val="Calibri"/>
          <family val="2"/>
          <charset val="238"/>
          <scheme val="minor"/>
        </font>
        <fill>
          <patternFill patternType="solid">
            <bgColor rgb="FFFFFF00"/>
          </patternFill>
        </fill>
      </dxf>
    </rfmt>
    <rfmt sheetId="1" sqref="D527" start="0" length="0">
      <dxf>
        <fill>
          <patternFill patternType="solid">
            <bgColor rgb="FFFFFF00"/>
          </patternFill>
        </fill>
      </dxf>
    </rfmt>
    <rfmt sheetId="1" sqref="F527" start="0" length="0">
      <dxf>
        <fill>
          <patternFill patternType="solid">
            <bgColor rgb="FFFFFF00"/>
          </patternFill>
        </fill>
      </dxf>
    </rfmt>
    <rfmt sheetId="1" sqref="G527" start="0" length="0">
      <dxf>
        <alignment horizontal="left" vertical="top"/>
      </dxf>
    </rfmt>
    <rfmt sheetId="1" sqref="H527" start="0" length="0">
      <dxf>
        <alignment horizontal="left" vertical="top"/>
      </dxf>
    </rfmt>
    <rfmt sheetId="1" sqref="I527" start="0" length="0">
      <dxf>
        <fill>
          <patternFill patternType="solid">
            <bgColor rgb="FFFFFF00"/>
          </patternFill>
        </fill>
        <alignment horizontal="center" vertical="top"/>
      </dxf>
    </rfmt>
    <rfmt sheetId="1" sqref="K527" start="0" length="0">
      <dxf>
        <fill>
          <patternFill patternType="solid">
            <bgColor theme="0"/>
          </patternFill>
        </fill>
        <alignment horizontal="center" vertical="top"/>
      </dxf>
    </rfmt>
    <rfmt sheetId="1" sqref="L527" start="0" length="0">
      <dxf>
        <alignment horizontal="center" vertical="top"/>
      </dxf>
    </rfmt>
    <rfmt sheetId="1" sqref="M527" start="0" length="0">
      <dxf>
        <alignment horizontal="center" vertical="top"/>
      </dxf>
    </rfmt>
    <rfmt sheetId="1" sqref="N527" start="0" length="0">
      <dxf>
        <alignment horizontal="center" vertical="top"/>
      </dxf>
    </rfmt>
    <rfmt sheetId="1" sqref="O527" start="0" length="0">
      <dxf>
        <alignment horizontal="center" vertical="top"/>
      </dxf>
    </rfmt>
    <rfmt sheetId="1" sqref="P527" start="0" length="0">
      <dxf>
        <alignment horizontal="center" vertical="top"/>
      </dxf>
    </rfmt>
    <rfmt sheetId="1" sqref="Q527" start="0" length="0">
      <dxf>
        <alignment horizontal="center" vertical="top"/>
      </dxf>
    </rfmt>
    <rfmt sheetId="1" sqref="R527" start="0" length="0">
      <dxf>
        <alignment horizontal="center" vertical="top"/>
      </dxf>
    </rfmt>
    <rfmt sheetId="1" sqref="T527" start="0" length="0">
      <dxf>
        <fill>
          <patternFill patternType="solid">
            <bgColor rgb="FFFFFF00"/>
          </patternFill>
        </fill>
      </dxf>
    </rfmt>
    <rfmt sheetId="1" sqref="U527" start="0" length="0">
      <dxf>
        <fill>
          <patternFill patternType="solid">
            <bgColor rgb="FFFFFF00"/>
          </patternFill>
        </fill>
      </dxf>
    </rfmt>
    <rfmt sheetId="1" sqref="W527" start="0" length="0">
      <dxf>
        <fill>
          <patternFill patternType="solid">
            <bgColor rgb="FFFFFF00"/>
          </patternFill>
        </fill>
      </dxf>
    </rfmt>
    <rfmt sheetId="1" sqref="X527" start="0" length="0">
      <dxf>
        <fill>
          <patternFill patternType="solid">
            <bgColor rgb="FFFFFF00"/>
          </patternFill>
        </fill>
      </dxf>
    </rfmt>
    <rfmt sheetId="1" sqref="Z527" start="0" length="0">
      <dxf>
        <fill>
          <patternFill patternType="solid">
            <bgColor rgb="FFFFFF00"/>
          </patternFill>
        </fill>
      </dxf>
    </rfmt>
    <rfmt sheetId="1" sqref="AA527" start="0" length="0">
      <dxf>
        <fill>
          <patternFill patternType="solid">
            <bgColor rgb="FFFFFF00"/>
          </patternFill>
        </fill>
      </dxf>
    </rfmt>
    <rfmt sheetId="1" sqref="AC527" start="0" length="0">
      <dxf>
        <fill>
          <patternFill patternType="solid">
            <bgColor rgb="FFFFFF00"/>
          </patternFill>
        </fill>
      </dxf>
    </rfmt>
    <rfmt sheetId="1" sqref="AD527" start="0" length="0">
      <dxf>
        <fill>
          <patternFill patternType="solid">
            <bgColor rgb="FFFFFF00"/>
          </patternFill>
        </fill>
      </dxf>
    </rfmt>
    <rfmt sheetId="1" sqref="AE527" start="0" length="0">
      <dxf>
        <fill>
          <patternFill patternType="solid">
            <bgColor theme="0"/>
          </patternFill>
        </fill>
      </dxf>
    </rfmt>
    <rfmt sheetId="1" sqref="AI527" start="0" length="0">
      <dxf>
        <alignment vertical="top" wrapText="1"/>
      </dxf>
    </rfmt>
  </rrc>
  <rrc rId="5170" sId="1" ref="A527:XFD527" action="deleteRow">
    <undo index="65535" exp="area" ref3D="1" dr="$H$1:$N$1048576" dn="Z_65B035E3_87FA_46C5_996E_864F2C8D0EBC_.wvu.Cols" sId="1"/>
    <rfmt sheetId="1" xfDxf="1" sqref="A527:XFD527" start="0" length="0"/>
    <rfmt sheetId="1" sqref="B527" start="0" length="0">
      <dxf>
        <fill>
          <patternFill patternType="solid">
            <bgColor rgb="FFFFFF00"/>
          </patternFill>
        </fill>
      </dxf>
    </rfmt>
    <rfmt sheetId="1" sqref="C527" start="0" length="0">
      <dxf>
        <font>
          <b/>
          <sz val="11"/>
          <color theme="1"/>
          <name val="Calibri"/>
          <family val="2"/>
          <charset val="238"/>
          <scheme val="minor"/>
        </font>
        <fill>
          <patternFill patternType="solid">
            <bgColor rgb="FFFFFF00"/>
          </patternFill>
        </fill>
      </dxf>
    </rfmt>
    <rfmt sheetId="1" sqref="D527" start="0" length="0">
      <dxf>
        <fill>
          <patternFill patternType="solid">
            <bgColor rgb="FFFFFF00"/>
          </patternFill>
        </fill>
      </dxf>
    </rfmt>
    <rfmt sheetId="1" sqref="F527" start="0" length="0">
      <dxf>
        <fill>
          <patternFill patternType="solid">
            <bgColor rgb="FFFFFF00"/>
          </patternFill>
        </fill>
      </dxf>
    </rfmt>
    <rfmt sheetId="1" sqref="G527" start="0" length="0">
      <dxf>
        <alignment horizontal="left" vertical="top"/>
      </dxf>
    </rfmt>
    <rfmt sheetId="1" sqref="H527" start="0" length="0">
      <dxf>
        <alignment horizontal="left" vertical="top"/>
      </dxf>
    </rfmt>
    <rfmt sheetId="1" sqref="I527" start="0" length="0">
      <dxf>
        <fill>
          <patternFill patternType="solid">
            <bgColor rgb="FFFFFF00"/>
          </patternFill>
        </fill>
        <alignment horizontal="center" vertical="top"/>
      </dxf>
    </rfmt>
    <rfmt sheetId="1" sqref="K527" start="0" length="0">
      <dxf>
        <fill>
          <patternFill patternType="solid">
            <bgColor theme="0"/>
          </patternFill>
        </fill>
        <alignment horizontal="center" vertical="top"/>
      </dxf>
    </rfmt>
    <rfmt sheetId="1" sqref="L527" start="0" length="0">
      <dxf>
        <alignment horizontal="center" vertical="top"/>
      </dxf>
    </rfmt>
    <rfmt sheetId="1" sqref="M527" start="0" length="0">
      <dxf>
        <alignment horizontal="center" vertical="top"/>
      </dxf>
    </rfmt>
    <rfmt sheetId="1" sqref="N527" start="0" length="0">
      <dxf>
        <alignment horizontal="center" vertical="top"/>
      </dxf>
    </rfmt>
    <rfmt sheetId="1" sqref="O527" start="0" length="0">
      <dxf>
        <alignment horizontal="center" vertical="top"/>
      </dxf>
    </rfmt>
    <rfmt sheetId="1" sqref="P527" start="0" length="0">
      <dxf>
        <alignment horizontal="center" vertical="top"/>
      </dxf>
    </rfmt>
    <rfmt sheetId="1" sqref="Q527" start="0" length="0">
      <dxf>
        <alignment horizontal="center" vertical="top"/>
      </dxf>
    </rfmt>
    <rfmt sheetId="1" sqref="R527" start="0" length="0">
      <dxf>
        <alignment horizontal="center" vertical="top"/>
      </dxf>
    </rfmt>
    <rfmt sheetId="1" sqref="T527" start="0" length="0">
      <dxf>
        <fill>
          <patternFill patternType="solid">
            <bgColor rgb="FFFFFF00"/>
          </patternFill>
        </fill>
      </dxf>
    </rfmt>
    <rfmt sheetId="1" sqref="U527" start="0" length="0">
      <dxf>
        <fill>
          <patternFill patternType="solid">
            <bgColor rgb="FFFFFF00"/>
          </patternFill>
        </fill>
      </dxf>
    </rfmt>
    <rfmt sheetId="1" sqref="W527" start="0" length="0">
      <dxf>
        <fill>
          <patternFill patternType="solid">
            <bgColor rgb="FFFFFF00"/>
          </patternFill>
        </fill>
      </dxf>
    </rfmt>
    <rfmt sheetId="1" sqref="X527" start="0" length="0">
      <dxf>
        <fill>
          <patternFill patternType="solid">
            <bgColor rgb="FFFFFF00"/>
          </patternFill>
        </fill>
      </dxf>
    </rfmt>
    <rfmt sheetId="1" sqref="Z527" start="0" length="0">
      <dxf>
        <fill>
          <patternFill patternType="solid">
            <bgColor rgb="FFFFFF00"/>
          </patternFill>
        </fill>
      </dxf>
    </rfmt>
    <rfmt sheetId="1" sqref="AA527" start="0" length="0">
      <dxf>
        <fill>
          <patternFill patternType="solid">
            <bgColor rgb="FFFFFF00"/>
          </patternFill>
        </fill>
      </dxf>
    </rfmt>
    <rfmt sheetId="1" sqref="AC527" start="0" length="0">
      <dxf>
        <fill>
          <patternFill patternType="solid">
            <bgColor rgb="FFFFFF00"/>
          </patternFill>
        </fill>
      </dxf>
    </rfmt>
    <rfmt sheetId="1" sqref="AD527" start="0" length="0">
      <dxf>
        <fill>
          <patternFill patternType="solid">
            <bgColor rgb="FFFFFF00"/>
          </patternFill>
        </fill>
      </dxf>
    </rfmt>
    <rfmt sheetId="1" sqref="AE527" start="0" length="0">
      <dxf>
        <fill>
          <patternFill patternType="solid">
            <bgColor theme="0"/>
          </patternFill>
        </fill>
      </dxf>
    </rfmt>
    <rfmt sheetId="1" sqref="AI527" start="0" length="0">
      <dxf>
        <alignment vertical="top" wrapText="1"/>
      </dxf>
    </rfmt>
  </rrc>
  <rrc rId="5171" sId="1" ref="A527:XFD527" action="deleteRow">
    <undo index="65535" exp="area" ref3D="1" dr="$H$1:$N$1048576" dn="Z_65B035E3_87FA_46C5_996E_864F2C8D0EBC_.wvu.Cols" sId="1"/>
    <rfmt sheetId="1" xfDxf="1" sqref="A527:XFD527" start="0" length="0"/>
    <rfmt sheetId="1" sqref="B527" start="0" length="0">
      <dxf>
        <fill>
          <patternFill patternType="solid">
            <bgColor rgb="FFFFFF00"/>
          </patternFill>
        </fill>
      </dxf>
    </rfmt>
    <rfmt sheetId="1" sqref="C527" start="0" length="0">
      <dxf>
        <font>
          <b/>
          <sz val="11"/>
          <color theme="1"/>
          <name val="Calibri"/>
          <family val="2"/>
          <charset val="238"/>
          <scheme val="minor"/>
        </font>
        <fill>
          <patternFill patternType="solid">
            <bgColor rgb="FFFFFF00"/>
          </patternFill>
        </fill>
      </dxf>
    </rfmt>
    <rfmt sheetId="1" sqref="D527" start="0" length="0">
      <dxf>
        <fill>
          <patternFill patternType="solid">
            <bgColor rgb="FFFFFF00"/>
          </patternFill>
        </fill>
      </dxf>
    </rfmt>
    <rfmt sheetId="1" sqref="F527" start="0" length="0">
      <dxf>
        <fill>
          <patternFill patternType="solid">
            <bgColor rgb="FFFFFF00"/>
          </patternFill>
        </fill>
      </dxf>
    </rfmt>
    <rfmt sheetId="1" sqref="G527" start="0" length="0">
      <dxf>
        <alignment horizontal="left" vertical="top"/>
      </dxf>
    </rfmt>
    <rfmt sheetId="1" sqref="H527" start="0" length="0">
      <dxf>
        <alignment horizontal="left" vertical="top"/>
      </dxf>
    </rfmt>
    <rfmt sheetId="1" sqref="I527" start="0" length="0">
      <dxf>
        <fill>
          <patternFill patternType="solid">
            <bgColor rgb="FFFFFF00"/>
          </patternFill>
        </fill>
        <alignment horizontal="center" vertical="top"/>
      </dxf>
    </rfmt>
    <rfmt sheetId="1" sqref="K527" start="0" length="0">
      <dxf>
        <fill>
          <patternFill patternType="solid">
            <bgColor theme="0"/>
          </patternFill>
        </fill>
        <alignment horizontal="center" vertical="top"/>
      </dxf>
    </rfmt>
    <rfmt sheetId="1" sqref="L527" start="0" length="0">
      <dxf>
        <alignment horizontal="center" vertical="top"/>
      </dxf>
    </rfmt>
    <rfmt sheetId="1" sqref="M527" start="0" length="0">
      <dxf>
        <alignment horizontal="center" vertical="top"/>
      </dxf>
    </rfmt>
    <rfmt sheetId="1" sqref="N527" start="0" length="0">
      <dxf>
        <alignment horizontal="center" vertical="top"/>
      </dxf>
    </rfmt>
    <rfmt sheetId="1" sqref="O527" start="0" length="0">
      <dxf>
        <alignment horizontal="center" vertical="top"/>
      </dxf>
    </rfmt>
    <rfmt sheetId="1" sqref="P527" start="0" length="0">
      <dxf>
        <alignment horizontal="center" vertical="top"/>
      </dxf>
    </rfmt>
    <rfmt sheetId="1" sqref="Q527" start="0" length="0">
      <dxf>
        <alignment horizontal="center" vertical="top"/>
      </dxf>
    </rfmt>
    <rfmt sheetId="1" sqref="R527" start="0" length="0">
      <dxf>
        <alignment horizontal="center" vertical="top"/>
      </dxf>
    </rfmt>
    <rfmt sheetId="1" sqref="T527" start="0" length="0">
      <dxf>
        <fill>
          <patternFill patternType="solid">
            <bgColor rgb="FFFFFF00"/>
          </patternFill>
        </fill>
      </dxf>
    </rfmt>
    <rfmt sheetId="1" sqref="U527" start="0" length="0">
      <dxf>
        <fill>
          <patternFill patternType="solid">
            <bgColor rgb="FFFFFF00"/>
          </patternFill>
        </fill>
      </dxf>
    </rfmt>
    <rfmt sheetId="1" sqref="W527" start="0" length="0">
      <dxf>
        <fill>
          <patternFill patternType="solid">
            <bgColor rgb="FFFFFF00"/>
          </patternFill>
        </fill>
      </dxf>
    </rfmt>
    <rfmt sheetId="1" sqref="X527" start="0" length="0">
      <dxf>
        <fill>
          <patternFill patternType="solid">
            <bgColor rgb="FFFFFF00"/>
          </patternFill>
        </fill>
      </dxf>
    </rfmt>
    <rfmt sheetId="1" sqref="Z527" start="0" length="0">
      <dxf>
        <fill>
          <patternFill patternType="solid">
            <bgColor rgb="FFFFFF00"/>
          </patternFill>
        </fill>
      </dxf>
    </rfmt>
    <rfmt sheetId="1" sqref="AA527" start="0" length="0">
      <dxf>
        <fill>
          <patternFill patternType="solid">
            <bgColor rgb="FFFFFF00"/>
          </patternFill>
        </fill>
      </dxf>
    </rfmt>
    <rfmt sheetId="1" sqref="AC527" start="0" length="0">
      <dxf>
        <fill>
          <patternFill patternType="solid">
            <bgColor rgb="FFFFFF00"/>
          </patternFill>
        </fill>
      </dxf>
    </rfmt>
    <rfmt sheetId="1" sqref="AD527" start="0" length="0">
      <dxf>
        <fill>
          <patternFill patternType="solid">
            <bgColor rgb="FFFFFF00"/>
          </patternFill>
        </fill>
      </dxf>
    </rfmt>
    <rfmt sheetId="1" sqref="AE527" start="0" length="0">
      <dxf>
        <fill>
          <patternFill patternType="solid">
            <bgColor theme="0"/>
          </patternFill>
        </fill>
      </dxf>
    </rfmt>
    <rfmt sheetId="1" sqref="AI527" start="0" length="0">
      <dxf>
        <alignment vertical="top" wrapText="1"/>
      </dxf>
    </rfmt>
  </rrc>
  <rrc rId="5172" sId="1" ref="A527:XFD527" action="deleteRow">
    <undo index="65535" exp="area" ref3D="1" dr="$H$1:$N$1048576" dn="Z_65B035E3_87FA_46C5_996E_864F2C8D0EBC_.wvu.Cols" sId="1"/>
    <rfmt sheetId="1" xfDxf="1" sqref="A527:XFD527" start="0" length="0"/>
    <rfmt sheetId="1" sqref="B527" start="0" length="0">
      <dxf>
        <fill>
          <patternFill patternType="solid">
            <bgColor rgb="FFFFFF00"/>
          </patternFill>
        </fill>
      </dxf>
    </rfmt>
    <rfmt sheetId="1" sqref="C527" start="0" length="0">
      <dxf>
        <font>
          <b/>
          <sz val="11"/>
          <color theme="1"/>
          <name val="Calibri"/>
          <family val="2"/>
          <charset val="238"/>
          <scheme val="minor"/>
        </font>
        <fill>
          <patternFill patternType="solid">
            <bgColor rgb="FFFFFF00"/>
          </patternFill>
        </fill>
      </dxf>
    </rfmt>
    <rfmt sheetId="1" sqref="D527" start="0" length="0">
      <dxf>
        <fill>
          <patternFill patternType="solid">
            <bgColor rgb="FFFFFF00"/>
          </patternFill>
        </fill>
      </dxf>
    </rfmt>
    <rfmt sheetId="1" sqref="F527" start="0" length="0">
      <dxf>
        <fill>
          <patternFill patternType="solid">
            <bgColor rgb="FFFFFF00"/>
          </patternFill>
        </fill>
      </dxf>
    </rfmt>
    <rfmt sheetId="1" sqref="G527" start="0" length="0">
      <dxf>
        <alignment horizontal="left" vertical="top"/>
      </dxf>
    </rfmt>
    <rfmt sheetId="1" sqref="H527" start="0" length="0">
      <dxf>
        <alignment horizontal="left" vertical="top"/>
      </dxf>
    </rfmt>
    <rfmt sheetId="1" sqref="I527" start="0" length="0">
      <dxf>
        <fill>
          <patternFill patternType="solid">
            <bgColor rgb="FFFFFF00"/>
          </patternFill>
        </fill>
        <alignment horizontal="center" vertical="top"/>
      </dxf>
    </rfmt>
    <rfmt sheetId="1" sqref="K527" start="0" length="0">
      <dxf>
        <fill>
          <patternFill patternType="solid">
            <bgColor theme="0"/>
          </patternFill>
        </fill>
        <alignment horizontal="center" vertical="top"/>
      </dxf>
    </rfmt>
    <rfmt sheetId="1" sqref="L527" start="0" length="0">
      <dxf>
        <alignment horizontal="center" vertical="top"/>
      </dxf>
    </rfmt>
    <rfmt sheetId="1" sqref="M527" start="0" length="0">
      <dxf>
        <alignment horizontal="center" vertical="top"/>
      </dxf>
    </rfmt>
    <rfmt sheetId="1" sqref="N527" start="0" length="0">
      <dxf>
        <alignment horizontal="center" vertical="top"/>
      </dxf>
    </rfmt>
    <rfmt sheetId="1" sqref="O527" start="0" length="0">
      <dxf>
        <alignment horizontal="center" vertical="top"/>
      </dxf>
    </rfmt>
    <rfmt sheetId="1" sqref="P527" start="0" length="0">
      <dxf>
        <alignment horizontal="center" vertical="top"/>
      </dxf>
    </rfmt>
    <rfmt sheetId="1" sqref="Q527" start="0" length="0">
      <dxf>
        <alignment horizontal="center" vertical="top"/>
      </dxf>
    </rfmt>
    <rfmt sheetId="1" sqref="R527" start="0" length="0">
      <dxf>
        <alignment horizontal="center" vertical="top"/>
      </dxf>
    </rfmt>
    <rfmt sheetId="1" sqref="T527" start="0" length="0">
      <dxf>
        <fill>
          <patternFill patternType="solid">
            <bgColor rgb="FFFFFF00"/>
          </patternFill>
        </fill>
      </dxf>
    </rfmt>
    <rfmt sheetId="1" sqref="U527" start="0" length="0">
      <dxf>
        <fill>
          <patternFill patternType="solid">
            <bgColor rgb="FFFFFF00"/>
          </patternFill>
        </fill>
      </dxf>
    </rfmt>
    <rfmt sheetId="1" sqref="W527" start="0" length="0">
      <dxf>
        <fill>
          <patternFill patternType="solid">
            <bgColor rgb="FFFFFF00"/>
          </patternFill>
        </fill>
      </dxf>
    </rfmt>
    <rfmt sheetId="1" sqref="X527" start="0" length="0">
      <dxf>
        <fill>
          <patternFill patternType="solid">
            <bgColor rgb="FFFFFF00"/>
          </patternFill>
        </fill>
      </dxf>
    </rfmt>
    <rfmt sheetId="1" sqref="Z527" start="0" length="0">
      <dxf>
        <fill>
          <patternFill patternType="solid">
            <bgColor rgb="FFFFFF00"/>
          </patternFill>
        </fill>
      </dxf>
    </rfmt>
    <rfmt sheetId="1" sqref="AA527" start="0" length="0">
      <dxf>
        <fill>
          <patternFill patternType="solid">
            <bgColor rgb="FFFFFF00"/>
          </patternFill>
        </fill>
      </dxf>
    </rfmt>
    <rfmt sheetId="1" sqref="AC527" start="0" length="0">
      <dxf>
        <fill>
          <patternFill patternType="solid">
            <bgColor rgb="FFFFFF00"/>
          </patternFill>
        </fill>
      </dxf>
    </rfmt>
    <rfmt sheetId="1" sqref="AD527" start="0" length="0">
      <dxf>
        <fill>
          <patternFill patternType="solid">
            <bgColor rgb="FFFFFF00"/>
          </patternFill>
        </fill>
      </dxf>
    </rfmt>
    <rfmt sheetId="1" sqref="AE527" start="0" length="0">
      <dxf>
        <fill>
          <patternFill patternType="solid">
            <bgColor theme="0"/>
          </patternFill>
        </fill>
      </dxf>
    </rfmt>
    <rfmt sheetId="1" sqref="AI527" start="0" length="0">
      <dxf>
        <alignment vertical="top" wrapText="1"/>
      </dxf>
    </rfmt>
  </rrc>
  <rcc rId="5173" sId="1">
    <oc r="AE531">
      <f>AE524-424883.55</f>
    </oc>
    <nc r="AE531"/>
  </rcc>
  <rcv guid="{7C1B4D6D-D666-48DD-AB17-E00791B6F0B6}" action="delete"/>
  <rdn rId="0" localSheetId="1" customView="1" name="Z_7C1B4D6D_D666_48DD_AB17_E00791B6F0B6_.wvu.PrintArea" hidden="1" oldHidden="1">
    <formula>Sheet1!$A$1:$AL$524</formula>
    <oldFormula>Sheet1!$A$1:$AL$524</oldFormula>
  </rdn>
  <rdn rId="0" localSheetId="1" customView="1" name="Z_7C1B4D6D_D666_48DD_AB17_E00791B6F0B6_.wvu.Cols" hidden="1" oldHidden="1">
    <formula>Sheet1!$G:$R</formula>
  </rdn>
  <rdn rId="0" localSheetId="1" customView="1" name="Z_7C1B4D6D_D666_48DD_AB17_E00791B6F0B6_.wvu.FilterData" hidden="1" oldHidden="1">
    <formula>Sheet1!$A$7:$DG$497</formula>
    <oldFormula>Sheet1!$A$7:$DG$497</oldFormula>
  </rdn>
  <rcv guid="{7C1B4D6D-D666-48DD-AB17-E00791B6F0B6}" action="add"/>
</revisions>
</file>

<file path=xl/revisions/revisionLog4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77" sId="1">
    <oc r="AC65">
      <v>78540</v>
    </oc>
    <nc r="AC65">
      <v>0</v>
    </nc>
  </rcc>
  <rcc rId="5178" sId="1" numFmtId="4">
    <oc r="AF65">
      <v>0</v>
    </oc>
    <nc r="AF65">
      <v>78540</v>
    </nc>
  </rcc>
  <rfmt sheetId="1" xfDxf="1" sqref="AF168" start="0" length="0">
    <dxf>
      <font>
        <b/>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5179" sId="1" numFmtId="4">
    <oc r="AC168">
      <v>129948</v>
    </oc>
    <nc r="AC168">
      <v>0</v>
    </nc>
  </rcc>
  <rcc rId="5180" sId="1" odxf="1" s="1" dxf="1" numFmtId="4">
    <oc r="AF168">
      <v>0</v>
    </oc>
    <nc r="AF168">
      <v>129948</v>
    </nc>
    <ndxf>
      <font>
        <b val="0"/>
        <sz val="12"/>
        <color auto="1"/>
        <name val="Calibri"/>
        <family val="2"/>
        <charset val="238"/>
        <scheme val="minor"/>
      </font>
      <numFmt numFmtId="165" formatCode="#,##0.00_ ;\-#,##0.00\ "/>
      <fill>
        <patternFill patternType="solid">
          <bgColor theme="0"/>
        </patternFill>
      </fill>
    </ndxf>
  </rcc>
  <rcc rId="5181" sId="1" numFmtId="4">
    <nc r="AC186">
      <v>0</v>
    </nc>
  </rcc>
  <rcc rId="5182" sId="1" endOfListFormulaUpdate="1">
    <oc r="AC190">
      <f>SUM(AC183:AC185)</f>
    </oc>
    <nc r="AC190">
      <f>SUM(AC183:AC186)</f>
    </nc>
  </rcc>
  <rcc rId="5183" sId="1" numFmtId="4">
    <nc r="AD186">
      <v>0</v>
    </nc>
  </rcc>
  <rcc rId="5184" sId="1" endOfListFormulaUpdate="1">
    <oc r="AD190">
      <f>SUM(AD183:AD185)</f>
    </oc>
    <nc r="AD190">
      <f>SUM(AD183:AD186)</f>
    </nc>
  </rcc>
  <rcc rId="5185" sId="1" numFmtId="4">
    <nc r="AC159">
      <v>0</v>
    </nc>
  </rcc>
  <rcc rId="5186" sId="1" numFmtId="4">
    <nc r="AD159">
      <v>0</v>
    </nc>
  </rcc>
  <rfmt sheetId="1" sqref="AC85" start="0" length="0">
    <dxf>
      <font>
        <sz val="12"/>
        <color auto="1"/>
      </font>
      <numFmt numFmtId="4" formatCode="#,##0.00"/>
      <alignment horizontal="right"/>
    </dxf>
  </rfmt>
  <rcc rId="5187" sId="1" odxf="1" s="1" dxf="1" numFmtId="4">
    <oc r="AB85">
      <v>0</v>
    </oc>
    <nc r="AB85">
      <f>AC85+AD85</f>
    </nc>
    <odxf>
      <font>
        <b val="0"/>
        <i val="0"/>
        <strike val="0"/>
        <condense val="0"/>
        <extend val="0"/>
        <outline val="0"/>
        <shadow val="0"/>
        <u val="none"/>
        <vertAlign val="baseline"/>
        <sz val="12"/>
        <color auto="1"/>
        <name val="Calibri"/>
        <family val="2"/>
        <charset val="1"/>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238"/>
        <scheme val="minor"/>
      </font>
      <numFmt numFmtId="165" formatCode="#,##0.00_ ;\-#,##0.00\ "/>
      <alignment horizontal="right"/>
    </ndxf>
  </rcc>
  <rcc rId="5188" sId="1" odxf="1" s="1" dxf="1" numFmtId="4">
    <nc r="AC56">
      <v>0</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5" formatCode="#,##0.00_ ;\-#,##0.00\ "/>
    </ndxf>
  </rcc>
  <rcc rId="5189" sId="1" odxf="1" s="1" dxf="1" numFmtId="4">
    <nc r="AD56">
      <v>0</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5" formatCode="#,##0.00_ ;\-#,##0.00\ "/>
    </ndxf>
  </rcc>
  <rcc rId="5190" sId="1" odxf="1" s="1" dxf="1" numFmtId="4">
    <nc r="AC242">
      <v>0</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5" formatCode="#,##0.00_ ;\-#,##0.00\ "/>
    </ndxf>
  </rcc>
  <rcc rId="5191" sId="1" odxf="1" s="1" dxf="1" numFmtId="4">
    <nc r="AD242">
      <v>0</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5" formatCode="#,##0.00_ ;\-#,##0.00\ "/>
    </ndxf>
  </rcc>
  <rcc rId="5192" sId="1" odxf="1" s="1" dxf="1" numFmtId="4">
    <nc r="AC277">
      <v>0</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5" formatCode="#,##0.00_ ;\-#,##0.00\ "/>
    </ndxf>
  </rcc>
  <rcc rId="5193" sId="1" odxf="1" s="1" dxf="1" numFmtId="4">
    <nc r="AD277">
      <v>0</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5" formatCode="#,##0.00_ ;\-#,##0.00\ "/>
    </ndxf>
  </rcc>
  <rcc rId="5194" sId="1" odxf="1" s="1" dxf="1" numFmtId="4">
    <nc r="AC300">
      <v>0</v>
    </nc>
    <odxf>
      <font>
        <b val="0"/>
        <i val="0"/>
        <strike val="0"/>
        <condense val="0"/>
        <extend val="0"/>
        <outline val="0"/>
        <shadow val="0"/>
        <u val="none"/>
        <vertAlign val="baseline"/>
        <sz val="12"/>
        <color auto="1"/>
        <name val="Calibri"/>
        <family val="2"/>
        <charset val="238"/>
        <scheme val="minor"/>
      </font>
      <numFmt numFmtId="165" formatCode="#,##0.00_ ;\-#,##0.00\ "/>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238"/>
        <scheme val="minor"/>
      </font>
    </ndxf>
  </rcc>
  <rcc rId="5195" sId="1" odxf="1" s="1" dxf="1" numFmtId="4">
    <nc r="AD300">
      <v>0</v>
    </nc>
    <odxf>
      <font>
        <b val="0"/>
        <i val="0"/>
        <strike val="0"/>
        <condense val="0"/>
        <extend val="0"/>
        <outline val="0"/>
        <shadow val="0"/>
        <u val="none"/>
        <vertAlign val="baseline"/>
        <sz val="12"/>
        <color auto="1"/>
        <name val="Calibri"/>
        <family val="2"/>
        <charset val="238"/>
        <scheme val="minor"/>
      </font>
      <numFmt numFmtId="165" formatCode="#,##0.00_ ;\-#,##0.00\ "/>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238"/>
        <scheme val="minor"/>
      </font>
    </ndxf>
  </rcc>
  <rcc rId="5196" sId="1" odxf="1" s="1" dxf="1" numFmtId="4">
    <nc r="AC306">
      <v>0</v>
    </nc>
    <odxf>
      <font>
        <b val="0"/>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238"/>
        <scheme val="minor"/>
      </font>
      <numFmt numFmtId="165" formatCode="#,##0.00_ ;\-#,##0.00\ "/>
    </ndxf>
  </rcc>
  <rcc rId="5197" sId="1" odxf="1" s="1" dxf="1" numFmtId="4">
    <nc r="AD306">
      <v>0</v>
    </nc>
    <odxf>
      <font>
        <b val="0"/>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238"/>
        <scheme val="minor"/>
      </font>
      <numFmt numFmtId="165" formatCode="#,##0.00_ ;\-#,##0.00\ "/>
    </ndxf>
  </rcc>
</revisions>
</file>

<file path=xl/revisions/revisionLog4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98" sId="1">
    <oc r="AE524">
      <f>AE507+AE522+AE523+0.01</f>
    </oc>
    <nc r="AE524">
      <f>AE507+AE522+AE523</f>
    </nc>
  </rcc>
</revisions>
</file>

<file path=xl/revisions/revisionLog4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S498">
    <dxf>
      <font>
        <b val="0"/>
        <i val="0"/>
        <strike val="0"/>
        <condense val="0"/>
        <extend val="0"/>
        <outline val="0"/>
        <shadow val="0"/>
        <u val="none"/>
        <vertAlign val="baseline"/>
        <sz val="12"/>
        <color auto="1"/>
        <name val="Calibri"/>
        <family val="2"/>
        <charset val="238"/>
        <scheme val="minor"/>
      </font>
      <numFmt numFmtId="165"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rfmt>
  <rfmt sheetId="1" s="1" sqref="T498" start="0" length="0">
    <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dxf>
  </rfmt>
  <rfmt sheetId="1" s="1" sqref="U498" start="0" length="0">
    <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dxf>
  </rfmt>
  <rfmt sheetId="1" s="1" sqref="V49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W498" start="0" length="0">
    <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dxf>
  </rfmt>
  <rfmt sheetId="1" s="1" sqref="X498" start="0" length="0">
    <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dxf>
  </rfmt>
  <rfmt sheetId="1" s="1" sqref="Y49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Z498" start="0" length="0">
    <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dxf>
  </rfmt>
  <rfmt sheetId="1" s="1" sqref="AA498" start="0" length="0">
    <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dxf>
  </rfmt>
  <rfmt sheetId="1" s="1" sqref="AB49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AC498" start="0" length="0">
    <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dxf>
  </rfmt>
  <rfmt sheetId="1" s="1" sqref="AD498" start="0" length="0">
    <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dxf>
  </rfmt>
  <rfmt sheetId="1" s="1" sqref="AE498" start="0" length="0">
    <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dxf>
  </rfmt>
  <rfmt sheetId="1" s="1" sqref="AF49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AG49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cc rId="5199" sId="1">
    <nc r="S498">
      <f>SUBTOTAL(9,S104:S354)</f>
    </nc>
  </rcc>
  <rcc rId="5200" sId="1">
    <nc r="T498">
      <f>SUBTOTAL(9,T104:T354)</f>
    </nc>
  </rcc>
  <rcc rId="5201" sId="1">
    <nc r="U498">
      <f>SUBTOTAL(9,U104:U354)</f>
    </nc>
  </rcc>
  <rcc rId="5202" sId="1">
    <nc r="V498">
      <f>SUBTOTAL(9,V104:V354)</f>
    </nc>
  </rcc>
  <rcc rId="5203" sId="1">
    <nc r="W498">
      <f>SUBTOTAL(9,W104:W354)</f>
    </nc>
  </rcc>
  <rcc rId="5204" sId="1">
    <nc r="X498">
      <f>SUBTOTAL(9,X104:X354)</f>
    </nc>
  </rcc>
  <rcc rId="5205" sId="1">
    <nc r="Y498">
      <f>SUBTOTAL(9,Y104:Y354)</f>
    </nc>
  </rcc>
  <rcc rId="5206" sId="1">
    <nc r="Z498">
      <f>SUBTOTAL(9,Z104:Z354)</f>
    </nc>
  </rcc>
  <rcc rId="5207" sId="1">
    <nc r="AA498">
      <f>SUBTOTAL(9,AA104:AA354)</f>
    </nc>
  </rcc>
  <rcc rId="5208" sId="1">
    <nc r="AB498">
      <f>SUBTOTAL(9,AB104:AB354)</f>
    </nc>
  </rcc>
  <rcc rId="5209" sId="1">
    <nc r="AC498">
      <f>SUBTOTAL(9,AC104:AC354)</f>
    </nc>
  </rcc>
  <rcc rId="5210" sId="1">
    <nc r="AD498">
      <f>SUBTOTAL(9,AD104:AD354)</f>
    </nc>
  </rcc>
  <rcc rId="5211" sId="1">
    <nc r="AE498">
      <f>SUBTOTAL(9,AE104:AE354)</f>
    </nc>
  </rcc>
  <rcc rId="5212" sId="1">
    <nc r="AF498">
      <f>SUBTOTAL(9,AF104:AF354)</f>
    </nc>
  </rcc>
  <rcc rId="5213" sId="1">
    <nc r="AG498">
      <f>SUBTOTAL(9,AG104:AG354)</f>
    </nc>
  </rcc>
  <rdn rId="0" localSheetId="1" customView="1" name="Z_7C1B4D6D_D666_48DD_AB17_E00791B6F0B6_.wvu.Cols" hidden="1" oldHidden="1">
    <oldFormula>Sheet1!$G:$R</oldFormula>
  </rdn>
  <rcv guid="{7C1B4D6D-D666-48DD-AB17-E00791B6F0B6}" action="delete"/>
  <rdn rId="0" localSheetId="1" customView="1" name="Z_7C1B4D6D_D666_48DD_AB17_E00791B6F0B6_.wvu.PrintArea" hidden="1" oldHidden="1">
    <formula>Sheet1!$A$1:$AL$524</formula>
    <oldFormula>Sheet1!$A$1:$AL$524</oldFormula>
  </rdn>
  <rdn rId="0" localSheetId="1" customView="1" name="Z_7C1B4D6D_D666_48DD_AB17_E00791B6F0B6_.wvu.FilterData" hidden="1" oldHidden="1">
    <formula>Sheet1!$A$7:$DG$497</formula>
    <oldFormula>Sheet1!$A$7:$DG$497</oldFormula>
  </rdn>
  <rcv guid="{7C1B4D6D-D666-48DD-AB17-E00791B6F0B6}" action="add"/>
</revisions>
</file>

<file path=xl/revisions/revisionLog4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17" sId="1">
    <oc r="S498">
      <f>SUBTOTAL(9,S104:S354)</f>
    </oc>
    <nc r="S498"/>
  </rcc>
  <rcc rId="5218" sId="1">
    <oc r="T498">
      <f>SUBTOTAL(9,T104:T354)</f>
    </oc>
    <nc r="T498"/>
  </rcc>
  <rcc rId="5219" sId="1">
    <oc r="U498">
      <f>SUBTOTAL(9,U104:U354)</f>
    </oc>
    <nc r="U498"/>
  </rcc>
  <rcc rId="5220" sId="1">
    <oc r="V498">
      <f>SUBTOTAL(9,V104:V354)</f>
    </oc>
    <nc r="V498"/>
  </rcc>
  <rcc rId="5221" sId="1">
    <oc r="W498">
      <f>SUBTOTAL(9,W104:W354)</f>
    </oc>
    <nc r="W498"/>
  </rcc>
  <rcc rId="5222" sId="1">
    <oc r="X498">
      <f>SUBTOTAL(9,X104:X354)</f>
    </oc>
    <nc r="X498"/>
  </rcc>
  <rcc rId="5223" sId="1">
    <oc r="Y498">
      <f>SUBTOTAL(9,Y104:Y354)</f>
    </oc>
    <nc r="Y498"/>
  </rcc>
  <rcc rId="5224" sId="1">
    <oc r="Z498">
      <f>SUBTOTAL(9,Z104:Z354)</f>
    </oc>
    <nc r="Z498"/>
  </rcc>
  <rcc rId="5225" sId="1">
    <oc r="AA498">
      <f>SUBTOTAL(9,AA104:AA354)</f>
    </oc>
    <nc r="AA498"/>
  </rcc>
  <rcc rId="5226" sId="1">
    <oc r="AB498">
      <f>SUBTOTAL(9,AB104:AB354)</f>
    </oc>
    <nc r="AB498"/>
  </rcc>
  <rcc rId="5227" sId="1">
    <oc r="AC498">
      <f>SUBTOTAL(9,AC104:AC354)</f>
    </oc>
    <nc r="AC498"/>
  </rcc>
  <rcc rId="5228" sId="1">
    <oc r="AD498">
      <f>SUBTOTAL(9,AD104:AD354)</f>
    </oc>
    <nc r="AD498"/>
  </rcc>
  <rcc rId="5229" sId="1">
    <oc r="AE498">
      <f>SUBTOTAL(9,AE104:AE354)</f>
    </oc>
    <nc r="AE498"/>
  </rcc>
  <rcc rId="5230" sId="1">
    <oc r="AF498">
      <f>SUBTOTAL(9,AF104:AF354)</f>
    </oc>
    <nc r="AF498"/>
  </rcc>
  <rcc rId="5231" sId="1">
    <oc r="AG498">
      <f>SUBTOTAL(9,AG104:AG354)</f>
    </oc>
    <nc r="AG498"/>
  </rcc>
  <rcv guid="{7C1B4D6D-D666-48DD-AB17-E00791B6F0B6}" action="delete"/>
  <rdn rId="0" localSheetId="1" customView="1" name="Z_7C1B4D6D_D666_48DD_AB17_E00791B6F0B6_.wvu.PrintArea" hidden="1" oldHidden="1">
    <formula>Sheet1!$A$1:$AL$524</formula>
    <oldFormula>Sheet1!$A$1:$AL$524</oldFormula>
  </rdn>
  <rdn rId="0" localSheetId="1" customView="1" name="Z_7C1B4D6D_D666_48DD_AB17_E00791B6F0B6_.wvu.FilterData" hidden="1" oldHidden="1">
    <formula>Sheet1!$A$7:$DG$497</formula>
    <oldFormula>Sheet1!$A$7:$DG$497</oldFormula>
  </rdn>
  <rcv guid="{7C1B4D6D-D666-48DD-AB17-E00791B6F0B6}" action="add"/>
</revisions>
</file>

<file path=xl/revisions/revisionLog4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34" sId="1">
    <nc r="AH14" t="inlineStr">
      <is>
        <t>în implementare</t>
      </is>
    </nc>
  </rcc>
  <rcv guid="{5AAA4DFE-88B1-4674-95ED-5FCD7A50BC22}" action="delete"/>
  <rdn rId="0" localSheetId="1" customView="1" name="Z_5AAA4DFE_88B1_4674_95ED_5FCD7A50BC22_.wvu.PrintArea" hidden="1" oldHidden="1">
    <formula>Sheet1!$A$1:$AL$524</formula>
    <oldFormula>Sheet1!$A$1:$AL$524</oldFormula>
  </rdn>
  <rdn rId="0" localSheetId="1" customView="1" name="Z_5AAA4DFE_88B1_4674_95ED_5FCD7A50BC22_.wvu.FilterData" hidden="1" oldHidden="1">
    <formula>Sheet1!$A$1:$DG$498</formula>
    <oldFormula>Sheet1!$A$1:$DG$498</oldFormula>
  </rdn>
  <rcv guid="{5AAA4DFE-88B1-4674-95ED-5FCD7A50BC22}" action="add"/>
</revisions>
</file>

<file path=xl/revisions/revisionLog4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37" sId="1">
    <nc r="AH92" t="inlineStr">
      <is>
        <t>în implementare</t>
      </is>
    </nc>
  </rcc>
  <rcv guid="{5AAA4DFE-88B1-4674-95ED-5FCD7A50BC22}" action="delete"/>
  <rdn rId="0" localSheetId="1" customView="1" name="Z_5AAA4DFE_88B1_4674_95ED_5FCD7A50BC22_.wvu.PrintArea" hidden="1" oldHidden="1">
    <formula>Sheet1!$A$1:$AL$524</formula>
    <oldFormula>Sheet1!$A$1:$AL$524</oldFormula>
  </rdn>
  <rdn rId="0" localSheetId="1" customView="1" name="Z_5AAA4DFE_88B1_4674_95ED_5FCD7A50BC22_.wvu.FilterData" hidden="1" oldHidden="1">
    <formula>Sheet1!$A$1:$DG$498</formula>
    <oldFormula>Sheet1!$A$1:$DG$498</oldFormula>
  </rdn>
  <rcv guid="{5AAA4DFE-88B1-4674-95ED-5FCD7A50BC22}" action="add"/>
</revisions>
</file>

<file path=xl/revisions/revisionLog4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40" sId="1">
    <nc r="AH150" t="inlineStr">
      <is>
        <t>în implementare</t>
      </is>
    </nc>
  </rcc>
  <rcc rId="5241" sId="1">
    <nc r="AH233" t="inlineStr">
      <is>
        <t>în implementare</t>
      </is>
    </nc>
  </rcc>
  <rcc rId="5242" sId="1">
    <nc r="AH277" t="inlineStr">
      <is>
        <t>în implementare</t>
      </is>
    </nc>
  </rcc>
  <rcc rId="5243" sId="1">
    <nc r="AH483" t="inlineStr">
      <is>
        <t>în implementare</t>
      </is>
    </nc>
  </rcc>
  <rcv guid="{5AAA4DFE-88B1-4674-95ED-5FCD7A50BC22}" action="delete"/>
  <rdn rId="0" localSheetId="1" customView="1" name="Z_5AAA4DFE_88B1_4674_95ED_5FCD7A50BC22_.wvu.PrintArea" hidden="1" oldHidden="1">
    <formula>Sheet1!$A$1:$AL$524</formula>
    <oldFormula>Sheet1!$A$1:$AL$524</oldFormula>
  </rdn>
  <rdn rId="0" localSheetId="1" customView="1" name="Z_5AAA4DFE_88B1_4674_95ED_5FCD7A50BC22_.wvu.FilterData" hidden="1" oldHidden="1">
    <formula>Sheet1!$A$1:$DG$498</formula>
    <oldFormula>Sheet1!$A$1:$DG$498</oldFormula>
  </rdn>
  <rcv guid="{5AAA4DFE-88B1-4674-95ED-5FCD7A50BC22}" action="add"/>
</revisions>
</file>

<file path=xl/revisions/revisionLog4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AA4DFE-88B1-4674-95ED-5FCD7A50BC22}" action="delete"/>
  <rdn rId="0" localSheetId="1" customView="1" name="Z_5AAA4DFE_88B1_4674_95ED_5FCD7A50BC22_.wvu.PrintArea" hidden="1" oldHidden="1">
    <formula>Sheet1!$A$1:$AL$524</formula>
    <oldFormula>Sheet1!$A$1:$AL$524</oldFormula>
  </rdn>
  <rdn rId="0" localSheetId="1" customView="1" name="Z_5AAA4DFE_88B1_4674_95ED_5FCD7A50BC22_.wvu.FilterData" hidden="1" oldHidden="1">
    <formula>Sheet1!$A$1:$DG$498</formula>
    <oldFormula>Sheet1!$A$1:$DG$498</oldFormula>
  </rdn>
  <rcv guid="{5AAA4DFE-88B1-4674-95ED-5FCD7A50BC22}" action="add"/>
</revisions>
</file>

<file path=xl/revisions/revisionLog4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48" sId="1">
    <oc r="H378" t="inlineStr">
      <is>
        <t xml:space="preserve">  </t>
      </is>
    </oc>
    <nc r="H378" t="inlineStr">
      <is>
        <t>Fundația PAEM ALBA</t>
      </is>
    </nc>
  </rcc>
  <rcv guid="{0781B6C2-B440-4971-9809-BD16245A70FD}" action="delete"/>
  <rdn rId="0" localSheetId="1" customView="1" name="Z_0781B6C2_B440_4971_9809_BD16245A70FD_.wvu.PrintArea" hidden="1" oldHidden="1">
    <formula>Sheet1!$A$1:$AL$524</formula>
    <oldFormula>Sheet1!$A$1:$AL$524</oldFormula>
  </rdn>
  <rdn rId="0" localSheetId="1" customView="1" name="Z_0781B6C2_B440_4971_9809_BD16245A70FD_.wvu.FilterData" hidden="1" oldHidden="1">
    <formula>Sheet1!$A$1:$AL$497</formula>
    <oldFormula>Sheet1!$A$1:$AL$497</oldFormula>
  </rdn>
  <rcv guid="{0781B6C2-B440-4971-9809-BD16245A70FD}" action="add"/>
</revisions>
</file>

<file path=xl/revisions/revisionLog4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C1B4D6D-D666-48DD-AB17-E00791B6F0B6}" action="delete"/>
  <rdn rId="0" localSheetId="1" customView="1" name="Z_7C1B4D6D_D666_48DD_AB17_E00791B6F0B6_.wvu.PrintArea" hidden="1" oldHidden="1">
    <formula>Sheet1!$A$1:$AL$524</formula>
    <oldFormula>Sheet1!$A$1:$AL$524</oldFormula>
  </rdn>
  <rdn rId="0" localSheetId="1" customView="1" name="Z_7C1B4D6D_D666_48DD_AB17_E00791B6F0B6_.wvu.FilterData" hidden="1" oldHidden="1">
    <formula>Sheet1!$A$7:$DG$497</formula>
    <oldFormula>Sheet1!$A$7:$DG$497</oldFormula>
  </rdn>
  <rcv guid="{7C1B4D6D-D666-48DD-AB17-E00791B6F0B6}" action="add"/>
</revisions>
</file>

<file path=xl/revisions/revisionLog4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4FB199A-D56E-4FDD-AC4A-70CE86CD87BC}" action="delete"/>
  <rdn rId="0" localSheetId="1" customView="1" name="Z_84FB199A_D56E_4FDD_AC4A_70CE86CD87BC_.wvu.PrintArea" hidden="1" oldHidden="1">
    <formula>Sheet1!$A$1:$AL$524</formula>
    <oldFormula>Sheet1!$A$1:$AL$524</oldFormula>
  </rdn>
  <rdn rId="0" localSheetId="1" customView="1" name="Z_84FB199A_D56E_4FDD_AC4A_70CE86CD87BC_.wvu.FilterData" hidden="1" oldHidden="1">
    <formula>Sheet1!$A$6:$AL$524</formula>
    <oldFormula>Sheet1!$A$6:$AL$524</oldFormula>
  </rdn>
  <rcv guid="{84FB199A-D56E-4FDD-AC4A-70CE86CD87BC}" action="add"/>
</revisions>
</file>

<file path=xl/revisions/revisionLog4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55" sId="1" numFmtId="4">
    <oc r="AJ361">
      <v>340951.1</v>
    </oc>
    <nc r="AJ361">
      <f>340951.1+52774.1</f>
    </nc>
  </rcc>
  <rcc rId="5256" sId="1" numFmtId="4">
    <oc r="AK361">
      <v>47349.74</v>
    </oc>
    <nc r="AK361">
      <f>47349.74+21861.72</f>
    </nc>
  </rcc>
  <rcc rId="5257" sId="1">
    <oc r="AJ365">
      <f>281863.03+67706.32</f>
    </oc>
    <nc r="AJ365">
      <f>281863.03+67706.32-7048.99</f>
    </nc>
  </rcc>
  <rcc rId="5258" sId="1" numFmtId="4">
    <oc r="AK365">
      <v>53450.47</v>
    </oc>
    <nc r="AK365">
      <f>53450.47+7048.99</f>
    </nc>
  </rcc>
  <rcc rId="5259" sId="1">
    <oc r="AJ366">
      <f>89285.71-11964.69+140134-555.33</f>
    </oc>
    <nc r="AJ366">
      <f>89285.71-11964.69+140134-555.33+108178.82</f>
    </nc>
  </rcc>
  <rcc rId="5260" sId="1">
    <oc r="AK366">
      <f>11964.69+11960.22+17298.63</f>
    </oc>
    <nc r="AK366">
      <f>11964.69+11960.22+17298.63+11541.66</f>
    </nc>
  </rcc>
  <rcc rId="5261" sId="1">
    <oc r="AJ367">
      <f>85000+43282.16-11040.21</f>
    </oc>
    <nc r="AJ367">
      <f>85000+43282.16-11040.21+106472.55</f>
    </nc>
  </rcc>
  <rcc rId="5262" sId="1">
    <oc r="AK367">
      <f>8254.12+14104.5</f>
    </oc>
    <nc r="AK367">
      <f>8254.12+14104.5+20304.84</f>
    </nc>
  </rcc>
  <rcc rId="5263" sId="1">
    <oc r="AJ368">
      <f>99898.9+20257.44+82739.46+65227.91</f>
    </oc>
    <nc r="AJ368">
      <f>99898.9+20257.44+82739.46+65227.91+122865.84</f>
    </nc>
  </rcc>
  <rcc rId="5264" sId="1">
    <oc r="AK368">
      <f>3863.19+15778.83+29070.82</f>
    </oc>
    <nc r="AK368">
      <f>3863.19+15778.83+29070.82+6799.58</f>
    </nc>
  </rcc>
  <rcc rId="5265" sId="1">
    <oc r="AJ369">
      <f>208329.69+72239</f>
    </oc>
    <nc r="AJ369">
      <f>208329.69+72239-12893.42</f>
    </nc>
  </rcc>
  <rcc rId="5266" sId="1" numFmtId="4">
    <oc r="AK369">
      <v>36750.339999999997</v>
    </oc>
    <nc r="AK369">
      <f>36750.34+12893.42</f>
    </nc>
  </rcc>
  <rcc rId="5267" sId="1">
    <oc r="AJ370">
      <f>311274.3+94352.8</f>
    </oc>
    <nc r="AJ370">
      <f>311274.3+94352.8-8733.69</f>
    </nc>
  </rcc>
  <rcc rId="5268" sId="1">
    <oc r="AK370">
      <f>40335.29+17993.54</f>
    </oc>
    <nc r="AK370">
      <f>40335.29+17993.54+8733.69</f>
    </nc>
  </rcc>
  <rcc rId="5269" sId="1">
    <oc r="AJ371">
      <f>184670.36-1719.64</f>
    </oc>
    <nc r="AJ371">
      <f>184670.36-1719.64+59823.53</f>
    </nc>
  </rcc>
  <rcc rId="5270" sId="1">
    <oc r="AK371">
      <f>18758.18+11080.69</f>
    </oc>
    <nc r="AK371">
      <f>18758.18+11080.69</f>
    </nc>
  </rcc>
  <rcc rId="5271" sId="1">
    <oc r="AJ372">
      <f>148819.34+46038</f>
    </oc>
    <nc r="AJ372">
      <f>148819.34+46038+153649.09</f>
    </nc>
  </rcc>
  <rcc rId="5272" sId="1" numFmtId="4">
    <oc r="AK372">
      <v>28380.59</v>
    </oc>
    <nc r="AK372">
      <f>28380.59+38081.31</f>
    </nc>
  </rcc>
  <rcc rId="5273" sId="1">
    <oc r="AJ374">
      <f>320855.76+13409.42</f>
    </oc>
    <nc r="AJ374">
      <f>320855.76+13409.42+153292.16</f>
    </nc>
  </rcc>
  <rcc rId="5274" sId="1" numFmtId="4">
    <oc r="AK374">
      <v>63706.03</v>
    </oc>
    <nc r="AK374">
      <f>63706.03+10496.81</f>
    </nc>
  </rcc>
  <rcc rId="5275" sId="1">
    <oc r="AJ375">
      <f>312590.47-8868.28</f>
    </oc>
    <nc r="AJ375">
      <f>312590.47-8868.28+88856.3</f>
    </nc>
  </rcc>
  <rcc rId="5276" sId="1">
    <oc r="AK375">
      <f>40972.78+16948.54</f>
    </oc>
    <nc r="AK375">
      <f>40972.78+16948.54+8885.07</f>
    </nc>
  </rcc>
  <rcc rId="5277" sId="1">
    <oc r="AJ376">
      <f>91800+75057.16+74073.77</f>
    </oc>
    <nc r="AJ376">
      <f>91800+75057.16+74073.77</f>
    </nc>
  </rcc>
  <rcc rId="5278" sId="1">
    <oc r="AK376">
      <f>14189.24+14126.23</f>
    </oc>
    <nc r="AK376">
      <f>14189.24+14126.23</f>
    </nc>
  </rcc>
  <rcc rId="5279" sId="1">
    <oc r="AJ377">
      <f>105536.1+45768.53</f>
    </oc>
    <nc r="AJ377">
      <f>105536.1+45768.53+51356.28</f>
    </nc>
  </rcc>
  <rcc rId="5280" sId="1">
    <oc r="AK377">
      <f>6905.53+8728.29</f>
    </oc>
    <nc r="AK377">
      <f>6905.53+8728.29+18120.82</f>
    </nc>
  </rcc>
  <rcc rId="5281" sId="1" numFmtId="4">
    <oc r="AJ378">
      <v>360374.76</v>
    </oc>
    <nc r="AJ378">
      <f>360374.76+80428.02</f>
    </nc>
  </rcc>
  <rcc rId="5282" sId="1">
    <oc r="AK378">
      <f>36349.9+31943.22</f>
    </oc>
    <nc r="AK378">
      <f>36349.9+31943.22+13703.1</f>
    </nc>
  </rcc>
  <rcc rId="5283" sId="1">
    <oc r="AJ381">
      <f>203464.35+52738</f>
    </oc>
    <nc r="AJ381">
      <f>203464.35+52738-9972.73</f>
    </nc>
  </rcc>
  <rcc rId="5284" sId="1">
    <oc r="AK381">
      <f>20890.44+10057.4</f>
    </oc>
    <nc r="AK381">
      <f>20890.44+10057.4+9972.73</f>
    </nc>
  </rcc>
  <rcc rId="5285" sId="1" numFmtId="4">
    <oc r="AJ383">
      <v>103189.19</v>
    </oc>
    <nc r="AJ383">
      <f>103189.19-10344.17</f>
    </nc>
  </rcc>
  <rcc rId="5286" sId="1" numFmtId="4">
    <oc r="AK383">
      <v>6891.88</v>
    </oc>
    <nc r="AK383">
      <f>6891.88+10344.17</f>
    </nc>
  </rcc>
  <rcc rId="5287" sId="1">
    <oc r="AJ387">
      <f>95051.96+39484.25</f>
    </oc>
    <nc r="AJ387">
      <f>95051.96+39484.25+23955.55</f>
    </nc>
  </rcc>
  <rcc rId="5288" sId="1">
    <oc r="AK387">
      <f>15075.6+9055.47</f>
    </oc>
    <nc r="AK387">
      <f>15075.6+9055.47+4568.44</f>
    </nc>
  </rcc>
  <rcc rId="5289" sId="1">
    <oc r="AJ388">
      <f>89946.09+50286.21</f>
    </oc>
    <nc r="AJ388">
      <f>89946.09+50286.21+28089.49</f>
    </nc>
  </rcc>
  <rcc rId="5290" sId="1" numFmtId="4">
    <oc r="AK388">
      <v>8053.91</v>
    </oc>
    <nc r="AK388">
      <f>8053.91+20294.8</f>
    </nc>
  </rcc>
  <rcc rId="5291" sId="1">
    <oc r="AJ390">
      <f>59000+45054.47-7168.82</f>
    </oc>
    <nc r="AJ390">
      <f>59000+45054.47-7168.82+43487.54</f>
    </nc>
  </rcc>
  <rcc rId="5292" sId="1" numFmtId="4">
    <oc r="AK390">
      <v>15760.94</v>
    </oc>
    <nc r="AK390">
      <f>15760.94+11008.93</f>
    </nc>
  </rcc>
  <rcc rId="5293" sId="1">
    <oc r="AJ392">
      <f>80989.07+73791.77</f>
    </oc>
    <nc r="AJ392">
      <f>80989.07+73791.77+71604.65</f>
    </nc>
  </rcc>
  <rcc rId="5294" sId="1" numFmtId="4">
    <oc r="AK392">
      <v>12124.41</v>
    </oc>
    <nc r="AK392">
      <f>12124.41+13655.35</f>
    </nc>
  </rcc>
  <rcc rId="5295" sId="1" numFmtId="4">
    <oc r="AJ393">
      <v>81482.69</v>
    </oc>
    <nc r="AJ393">
      <f>81482.69+89509.54</f>
    </nc>
  </rcc>
  <rcc rId="5296" sId="1" numFmtId="4">
    <oc r="AK393">
      <v>12927.23</v>
    </oc>
    <nc r="AK393">
      <f>12927.23+3853.32</f>
    </nc>
  </rcc>
  <rcc rId="5297" sId="1">
    <oc r="AJ394">
      <f>155523.41+47135.61</f>
    </oc>
    <nc r="AJ394">
      <f>155523.41+47135.61-8611.45</f>
    </nc>
  </rcc>
  <rcc rId="5298" sId="1">
    <oc r="AK394">
      <f>11958.04+8988.99</f>
    </oc>
    <nc r="AK394">
      <f>11958.04+8988.99+16058.8</f>
    </nc>
  </rcc>
  <rcc rId="5299" sId="1">
    <oc r="AJ395">
      <f>188133.51-12724.93</f>
    </oc>
    <nc r="AJ395">
      <f>188133.51-12724.93+92979.94</f>
    </nc>
  </rcc>
  <rcc rId="5300" sId="1">
    <oc r="AK395">
      <f>20686.62+12745.2</f>
    </oc>
    <nc r="AK395">
      <f>20686.62+12745.2+880.06</f>
    </nc>
  </rcc>
  <rcc rId="5301" sId="1" numFmtId="4">
    <oc r="AJ396">
      <v>140575.46</v>
    </oc>
    <nc r="AJ396">
      <f>140575.46+6566.7</f>
    </nc>
  </rcc>
  <rcc rId="5302" sId="1" numFmtId="4">
    <oc r="AK396">
      <v>11583.01</v>
    </oc>
    <nc r="AK396">
      <f>11583.01+16477.73</f>
    </nc>
  </rcc>
  <rcc rId="5303" sId="1">
    <oc r="AJ399">
      <f>98383.57+67957.2+131759</f>
    </oc>
    <nc r="AJ399">
      <f>98383.57+67957.2+131759+61030.49</f>
    </nc>
  </rcc>
  <rcc rId="5304" sId="1">
    <oc r="AK399">
      <f>12959.77+25127.1</f>
    </oc>
    <nc r="AK399">
      <f>12959.77+25127.1+30401.05</f>
    </nc>
  </rcc>
  <rcc rId="5305" sId="1">
    <oc r="AJ400">
      <f>84638.59+81518.25</f>
    </oc>
    <nc r="AJ400">
      <f>84638.59+81518.25+15437.85</f>
    </nc>
  </rcc>
  <rcc rId="5306" sId="1" numFmtId="4">
    <oc r="AK400">
      <v>13056.08</v>
    </oc>
    <nc r="AK400">
      <f>13056.08+21574.93</f>
    </nc>
  </rcc>
  <rcc rId="5307" sId="1">
    <oc r="AJ403">
      <f>115253.85+83737.14</f>
    </oc>
    <nc r="AJ403">
      <f>115253.85+83737.14+92702.34</f>
    </nc>
  </rcc>
  <rcc rId="5308" sId="1" numFmtId="4">
    <oc r="AK403">
      <v>18935.29</v>
    </oc>
    <nc r="AK403">
      <f>18935.29+25587.45</f>
    </nc>
  </rcc>
  <rcc rId="5309" sId="1" numFmtId="4">
    <oc r="AJ404">
      <v>218312.37</v>
    </oc>
    <nc r="AJ404">
      <f>218312.37+90611.85</f>
    </nc>
  </rcc>
  <rcc rId="5310" sId="1">
    <oc r="AK404">
      <f>23379.78+18253.47</f>
    </oc>
    <nc r="AK404">
      <f>23379.78+18253.47</f>
    </nc>
  </rcc>
  <rcc rId="5311" sId="1" numFmtId="4">
    <oc r="AJ405">
      <v>151069.39000000001</v>
    </oc>
    <nc r="AJ405">
      <f>151069.39+15306.08</f>
    </nc>
  </rcc>
  <rcc rId="5312" sId="1" numFmtId="4">
    <oc r="AK405">
      <v>10340.24</v>
    </oc>
    <nc r="AK405">
      <f>10340.24+21388.37</f>
    </nc>
  </rcc>
  <rcc rId="5313" sId="1">
    <oc r="AJ407">
      <f>239002.19+7716.3</f>
    </oc>
    <nc r="AJ407">
      <f>239002.19+7716.3+76236.18</f>
    </nc>
  </rcc>
  <rcc rId="5314" sId="1">
    <oc r="AK407">
      <f>26726.95+18388.45</f>
    </oc>
    <nc r="AK407">
      <f>26726.95+18388.45+12471.15</f>
    </nc>
  </rcc>
  <rcc rId="5315" sId="1" numFmtId="4">
    <oc r="AJ408">
      <v>86645.8</v>
    </oc>
    <nc r="AJ408">
      <f>86645.8-7709.4</f>
    </nc>
  </rcc>
  <rcc rId="5316" sId="1" numFmtId="4">
    <oc r="AK408">
      <v>6949.62</v>
    </oc>
    <nc r="AK408">
      <f>6949.62+7709.4</f>
    </nc>
  </rcc>
  <rcc rId="5317" sId="1">
    <oc r="AJ409">
      <f>213672.38+10844.44</f>
    </oc>
    <nc r="AJ409">
      <f>213672.38+10844.44+40106.9</f>
    </nc>
  </rcc>
  <rcc rId="5318" sId="1">
    <oc r="AK409">
      <f>23567.39+2068.09</f>
    </oc>
    <nc r="AK409">
      <f>23567.39+2068.09+7666.13</f>
    </nc>
  </rcc>
  <rcc rId="5319" sId="1" numFmtId="4">
    <oc r="AJ411">
      <v>191558.95</v>
    </oc>
    <nc r="AJ411">
      <f>191558.95+82810.85</f>
    </nc>
  </rcc>
  <rcc rId="5320" sId="1" numFmtId="4">
    <oc r="AK411">
      <v>18065.03</v>
    </oc>
    <nc r="AK411">
      <f>18065.03+15792.44</f>
    </nc>
  </rcc>
  <rcc rId="5321" sId="1">
    <oc r="AJ412">
      <f>90931+53329.56</f>
    </oc>
    <nc r="AJ412">
      <f>90931+53329.56+57210.46</f>
    </nc>
  </rcc>
  <rcc rId="5322" sId="1" numFmtId="4">
    <oc r="AK412">
      <v>10170.209999999999</v>
    </oc>
    <nc r="AK412">
      <f>10170.21+10910.32</f>
    </nc>
  </rcc>
  <rcc rId="5323" sId="1">
    <oc r="AJ414">
      <f>81982.44+68790.33</f>
    </oc>
    <nc r="AJ414">
      <f>81982.44+68790.33-12682.51</f>
    </nc>
  </rcc>
  <rcc rId="5324" sId="1" numFmtId="4">
    <oc r="AK414">
      <v>11017.56</v>
    </oc>
    <nc r="AK414">
      <f>11017.56+15316.94</f>
    </nc>
  </rcc>
  <rcc rId="5325" sId="1">
    <oc r="AJ416">
      <f>104036.05+83299.38</f>
    </oc>
    <nc r="AJ416">
      <f>104036.05+83299.38+40723.7</f>
    </nc>
  </rcc>
  <rcc rId="5326" sId="1" numFmtId="4">
    <oc r="AK416">
      <v>16886.650000000001</v>
    </oc>
    <nc r="AK416">
      <f>16886.65+26605.33</f>
    </nc>
  </rcc>
  <rcc rId="5327" sId="1">
    <oc r="AJ419">
      <f>55440+153663.31</f>
    </oc>
    <nc r="AJ419">
      <f>55440+153663.31</f>
    </nc>
  </rcc>
  <rcc rId="5328" sId="1">
    <oc r="AJ420">
      <f>99985.1+89695.95</f>
    </oc>
    <nc r="AJ420">
      <f>99985.1+89695.95+1370.47</f>
    </nc>
  </rcc>
  <rcc rId="5329" sId="1" numFmtId="4">
    <oc r="AK420">
      <v>17105.45</v>
    </oc>
    <nc r="AK420">
      <f>17105.45+14284.79</f>
    </nc>
  </rcc>
  <rcc rId="5330" sId="1" numFmtId="4">
    <oc r="AJ422">
      <v>137170.68</v>
    </oc>
    <nc r="AJ422">
      <f>137170.68-7903.65</f>
    </nc>
  </rcc>
  <rcc rId="5331" sId="1" numFmtId="4">
    <oc r="AK422">
      <v>10079.83</v>
    </oc>
    <nc r="AK422">
      <f>10079.83+14572.02</f>
    </nc>
  </rcc>
  <rcc rId="5332" sId="1">
    <oc r="AJ423">
      <f>157838.38+70218</f>
    </oc>
    <nc r="AJ423">
      <f>157838.38+70218+75120.05</f>
    </nc>
  </rcc>
  <rcc rId="5333" sId="1">
    <oc r="AK423">
      <f>11135.04+27716.68</f>
    </oc>
    <nc r="AK423">
      <f>11135.04+27716.68</f>
    </nc>
  </rcc>
  <rcc rId="5334" sId="1">
    <oc r="AJ424">
      <f>93127.69-32382.23</f>
    </oc>
    <nc r="AJ424">
      <f>93127.69-32382.23+82358.09</f>
    </nc>
  </rcc>
  <rcc rId="5335" sId="1">
    <oc r="AJ425">
      <f>73296.53+95514.85</f>
    </oc>
    <nc r="AJ425">
      <f>73296.53+95514.85+3270.71</f>
    </nc>
  </rcc>
  <rcc rId="5336" sId="1" numFmtId="4">
    <oc r="AK425">
      <v>13125.47</v>
    </oc>
    <nc r="AK425">
      <f>13125.47+19691.44</f>
    </nc>
  </rcc>
  <rcc rId="5337" sId="1">
    <oc r="AJ427">
      <f>99571.31-9242.96</f>
    </oc>
    <nc r="AJ427">
      <f>99571.31-9242.96+89177.68</f>
    </nc>
  </rcc>
  <rcc rId="5338" sId="1" numFmtId="4">
    <oc r="AK427">
      <v>15946.32</v>
    </oc>
    <nc r="AK427">
      <f>15946.32+15174.65</f>
    </nc>
  </rcc>
  <rcc rId="5339" sId="1">
    <oc r="AJ428">
      <f>76816.8+130770.26</f>
    </oc>
    <nc r="AJ428">
      <f>76816.8+130770.26-14027.52</f>
    </nc>
  </rcc>
  <rcc rId="5340" sId="1">
    <oc r="AK428">
      <f>13758.03+8556.79</f>
    </oc>
    <nc r="AK428">
      <f>13758.03+8556.79+14027.52</f>
    </nc>
  </rcc>
  <rcc rId="5341" sId="1">
    <oc r="AJ430">
      <f>97719.31+82606.17</f>
    </oc>
    <nc r="AJ430">
      <f>97719.31+82606.17+3211.32</f>
    </nc>
  </rcc>
  <rcc rId="5342" sId="1">
    <oc r="AK430">
      <f>16734.59+7125.74</f>
    </oc>
    <nc r="AK430">
      <f>16734.59+7125.74+9148.44</f>
    </nc>
  </rcc>
  <rcc rId="5343" sId="1">
    <oc r="AJ431">
      <f>67020+7797+44875.55</f>
    </oc>
    <nc r="AJ431">
      <f>67020+7797+44875.55+3783.2</f>
    </nc>
  </rcc>
  <rcc rId="5344" sId="1" numFmtId="4">
    <oc r="AK431">
      <v>8557.98</v>
    </oc>
    <nc r="AK431">
      <f>8557.98+2208.4</f>
    </nc>
  </rcc>
  <rcc rId="5345" sId="1" numFmtId="4">
    <oc r="AJ432">
      <v>85822.98</v>
    </oc>
    <nc r="AJ432">
      <f>85822.98+78186.5</f>
    </nc>
  </rcc>
  <rcc rId="5346" sId="1" numFmtId="4">
    <oc r="AK432">
      <v>0</v>
    </oc>
    <nc r="AK432">
      <v>14910.56</v>
    </nc>
  </rcc>
  <rcc rId="5347" sId="1">
    <oc r="AJ433">
      <f>57915.69+124630.09</f>
    </oc>
    <nc r="AJ433">
      <f>57915.69+124630.09-868.64</f>
    </nc>
  </rcc>
  <rcc rId="5348" sId="1" numFmtId="4">
    <oc r="AK433">
      <v>16617.93</v>
    </oc>
    <nc r="AK433">
      <f>16617.93+10285.59</f>
    </nc>
  </rcc>
  <rcc rId="5349" sId="1">
    <oc r="AJ434">
      <f>94833+71891.83</f>
    </oc>
    <nc r="AJ434">
      <f>94833+71891.83-13619.36</f>
    </nc>
  </rcc>
  <rcc rId="5350" sId="1" numFmtId="4">
    <oc r="AK434">
      <v>13710.12</v>
    </oc>
    <nc r="AK434">
      <f>13710.12+13619.36</f>
    </nc>
  </rcc>
  <rcc rId="5351" sId="1">
    <oc r="AJ436">
      <f>99856.11-15338.74</f>
    </oc>
    <nc r="AJ436">
      <f>99856.11-15338.74+81959.76</f>
    </nc>
  </rcc>
  <rcc rId="5352" sId="1" numFmtId="4">
    <oc r="AK436">
      <v>15338.74</v>
    </oc>
    <nc r="AK436">
      <f>15338.74+13810.74</f>
    </nc>
  </rcc>
  <rcc rId="5353" sId="1">
    <oc r="AJ437">
      <f>98711.62+82894.54</f>
    </oc>
    <nc r="AJ437">
      <f>98711.62+82894.54-376.83</f>
    </nc>
  </rcc>
  <rcc rId="5354" sId="1" numFmtId="4">
    <oc r="AK437">
      <v>15808.4</v>
    </oc>
    <nc r="AK437">
      <f>15808.4+376.83</f>
    </nc>
  </rcc>
  <rcc rId="5355" sId="1">
    <oc r="AJ438">
      <f>89466-9346.06</f>
    </oc>
    <nc r="AJ438">
      <f>89466-9346.06+57163.11</f>
    </nc>
  </rcc>
  <rcc rId="5356" sId="1" numFmtId="4">
    <oc r="AJ439">
      <v>181405.8</v>
    </oc>
    <nc r="AJ439">
      <f>181405.8+121986.95</f>
    </nc>
  </rcc>
  <rcc rId="5357" sId="1" numFmtId="4">
    <oc r="AK439">
      <v>15703.63</v>
    </oc>
    <nc r="AK439">
      <f>15703.63+42154.87</f>
    </nc>
  </rcc>
  <rcc rId="5358" sId="1">
    <oc r="AJ440">
      <f>97265.68-4932.42</f>
    </oc>
    <nc r="AJ440">
      <f>97265.68-4932.42-9631.06</f>
    </nc>
  </rcc>
  <rcc rId="5359" sId="1" numFmtId="4">
    <oc r="AK440">
      <v>4932.42</v>
    </oc>
    <nc r="AK440">
      <f>4932.42+9631.06</f>
    </nc>
  </rcc>
  <rcc rId="5360" sId="1">
    <oc r="AJ444">
      <f>96470.38-14469.9</f>
    </oc>
    <nc r="AJ444">
      <f>96470.38-14469.9+90345.75</f>
    </nc>
  </rcc>
  <rcc rId="5361" sId="1">
    <oc r="AK445">
      <f>13878.6</f>
    </oc>
    <nc r="AK445">
      <f>13878.6</f>
    </nc>
  </rcc>
  <rcc rId="5362" sId="1">
    <oc r="AJ446">
      <f>88658.73-1983.5</f>
    </oc>
    <nc r="AJ446">
      <f>88658.73-1983.5-12014.52</f>
    </nc>
  </rcc>
  <rcc rId="5363" sId="1" numFmtId="4">
    <oc r="AK446">
      <v>0</v>
    </oc>
    <nc r="AK446">
      <v>14022.63</v>
    </nc>
  </rcc>
  <rcc rId="5364" sId="1">
    <oc r="AJ449">
      <f>61292.27-7748.65</f>
    </oc>
    <nc r="AJ449">
      <f>61292.27-7748.65+48380.24</f>
    </nc>
  </rcc>
  <rcc rId="5365" sId="1">
    <oc r="AJ450">
      <f>98482.62-15061.09</f>
    </oc>
    <nc r="AJ450">
      <f>98482.62-15061.09+94056.93</f>
    </nc>
  </rcc>
  <rcc rId="5366" sId="1" numFmtId="4">
    <oc r="AK450">
      <v>15061.09</v>
    </oc>
    <nc r="AK450">
      <f>15061.09+3.81</f>
    </nc>
  </rcc>
  <rcc rId="5367" sId="1" numFmtId="4">
    <oc r="AJ452">
      <v>0</v>
    </oc>
    <nc r="AJ452">
      <v>11711.89</v>
    </nc>
  </rcc>
  <rcc rId="5368" sId="1" numFmtId="4">
    <oc r="AK452">
      <v>0</v>
    </oc>
    <nc r="AK452">
      <v>2233.5100000000002</v>
    </nc>
  </rcc>
  <rcc rId="5369" sId="1">
    <oc r="AJ453">
      <f>165765.11+56722.24</f>
    </oc>
    <nc r="AJ453">
      <f>165765.11+56722.24+28008.96</f>
    </nc>
  </rcc>
  <rcc rId="5370" sId="1">
    <oc r="AK453">
      <f>14377.08+10817.21</f>
    </oc>
    <nc r="AK453">
      <f>14377.08+10817.21+22576.59</f>
    </nc>
  </rcc>
  <rcc rId="5371" sId="1">
    <oc r="AJ455">
      <f>85600-10278.92</f>
    </oc>
    <nc r="AJ455">
      <f>85600-10278.92+91440.93</f>
    </nc>
  </rcc>
  <rcc rId="5372" sId="1" numFmtId="4">
    <oc r="AK455">
      <v>10278.92</v>
    </oc>
    <nc r="AK455">
      <f>10278.92+5199.07</f>
    </nc>
  </rcc>
  <rcc rId="5373" sId="1" numFmtId="4">
    <oc r="AJ458">
      <v>99292.62</v>
    </oc>
    <nc r="AJ458">
      <f>99292.62-14519.17</f>
    </nc>
  </rcc>
  <rcc rId="5374" sId="1" numFmtId="4">
    <oc r="AK458">
      <v>0</v>
    </oc>
    <nc r="AK458">
      <v>14519.17</v>
    </nc>
  </rcc>
  <rcc rId="5375" sId="1" numFmtId="4">
    <oc r="AJ459">
      <v>49971.72</v>
    </oc>
    <nc r="AJ459">
      <f>49971.72+83543.84</f>
    </nc>
  </rcc>
  <rcc rId="5376" sId="1" numFmtId="4">
    <oc r="AK459">
      <v>0</v>
    </oc>
    <nc r="AK459">
      <v>24884.17</v>
    </nc>
  </rcc>
  <rcc rId="5377" sId="1" numFmtId="4">
    <oc r="AJ460">
      <v>94316.78</v>
    </oc>
    <nc r="AJ460">
      <f>94316.78+88365.15</f>
    </nc>
  </rcc>
  <rcc rId="5378" sId="1" numFmtId="4">
    <oc r="AK460">
      <v>0</v>
    </oc>
    <nc r="AK460">
      <v>21755.69</v>
    </nc>
  </rcc>
  <rcc rId="5379" sId="1" numFmtId="4">
    <oc r="AJ461">
      <v>91009.38</v>
    </oc>
    <nc r="AJ461">
      <f>91009.38-9270.26</f>
    </nc>
  </rcc>
  <rcc rId="5380" sId="1" numFmtId="4">
    <oc r="AK461">
      <v>0</v>
    </oc>
    <nc r="AK461">
      <v>9270.26</v>
    </nc>
  </rcc>
  <rcc rId="5381" sId="1" numFmtId="4">
    <oc r="AJ462">
      <v>98952.8</v>
    </oc>
    <nc r="AJ462">
      <f>98952.8+38728.19</f>
    </nc>
  </rcc>
  <rcc rId="5382" sId="1" numFmtId="4">
    <oc r="AK462">
      <v>0</v>
    </oc>
    <nc r="AK462">
      <v>24992.94</v>
    </nc>
  </rcc>
  <rcc rId="5383" sId="1">
    <oc r="AJ464">
      <f>80429.21-9330.69</f>
    </oc>
    <nc r="AJ464">
      <f>80429.21-9330.69+58258.04</f>
    </nc>
  </rcc>
  <rcc rId="5384" sId="1">
    <oc r="AJ466">
      <f>93000-10796.98</f>
    </oc>
    <nc r="AJ466">
      <f>93000-10796.98+67413.16</f>
    </nc>
  </rcc>
  <rcc rId="5385" sId="1" numFmtId="4">
    <oc r="AJ467">
      <v>85782.36</v>
    </oc>
    <nc r="AJ467">
      <f>85782.36-3113.23</f>
    </nc>
  </rcc>
  <rcc rId="5386" sId="1" numFmtId="4">
    <oc r="AK467">
      <v>0</v>
    </oc>
    <nc r="AK467">
      <v>12524.47</v>
    </nc>
  </rcc>
  <rcc rId="5387" sId="1" numFmtId="4">
    <oc r="AJ469">
      <v>98300</v>
    </oc>
    <nc r="AJ469">
      <f>98300-13757.23</f>
    </nc>
  </rcc>
  <rcc rId="5388" sId="1" numFmtId="4">
    <oc r="AK469">
      <v>0</v>
    </oc>
    <nc r="AK469">
      <v>13757.23</v>
    </nc>
  </rcc>
  <rcc rId="5389" sId="1" numFmtId="4">
    <oc r="AJ470">
      <v>99790.399999999994</v>
    </oc>
    <nc r="AJ470">
      <f>99790.4-11343.79</f>
    </nc>
  </rcc>
  <rcc rId="5390" sId="1" numFmtId="4">
    <oc r="AK470">
      <v>0</v>
    </oc>
    <nc r="AK470">
      <v>11343.79</v>
    </nc>
  </rcc>
  <rcc rId="5391" sId="1">
    <oc r="AJ471">
      <f>97000+74075.05</f>
    </oc>
    <nc r="AJ471">
      <f>97000+74075.05+62367.67</f>
    </nc>
  </rcc>
  <rcc rId="5392" sId="1" numFmtId="4">
    <oc r="AK471">
      <v>14126.47</v>
    </oc>
    <nc r="AK471">
      <f>14126.47+15038.55</f>
    </nc>
  </rcc>
  <rcc rId="5393" sId="1" numFmtId="4">
    <oc r="AJ474">
      <v>97000</v>
    </oc>
    <nc r="AJ474">
      <f>97000-12225.11</f>
    </nc>
  </rcc>
  <rcc rId="5394" sId="1" numFmtId="4">
    <oc r="AK474">
      <v>0</v>
    </oc>
    <nc r="AK474">
      <v>12225.11</v>
    </nc>
  </rcc>
  <rcc rId="5395" sId="1" numFmtId="4">
    <oc r="AJ475">
      <v>98696.6</v>
    </oc>
    <nc r="AJ475">
      <f>98696.6-13570.14</f>
    </nc>
  </rcc>
  <rcc rId="5396" sId="1" numFmtId="4">
    <oc r="AK475">
      <v>0</v>
    </oc>
    <nc r="AK475">
      <v>13570.14</v>
    </nc>
  </rcc>
  <rcc rId="5397" sId="1" numFmtId="4">
    <oc r="AJ476">
      <v>98000</v>
    </oc>
    <nc r="AJ476">
      <f>98000+15936.3</f>
    </nc>
  </rcc>
  <rcc rId="5398" sId="1" numFmtId="4">
    <oc r="AK476">
      <v>0</v>
    </oc>
    <nc r="AK476">
      <v>21728.22</v>
    </nc>
  </rcc>
  <rcc rId="5399" sId="1" numFmtId="4">
    <oc r="AJ478">
      <v>95544.320000000007</v>
    </oc>
    <nc r="AJ478">
      <f>95544.32-8902.54</f>
    </nc>
  </rcc>
  <rcc rId="5400" sId="1" numFmtId="4">
    <oc r="AK478">
      <v>0</v>
    </oc>
    <nc r="AK478">
      <v>13512.19</v>
    </nc>
  </rcc>
  <rcc rId="5401" sId="1" numFmtId="4">
    <oc r="AJ480">
      <v>87429.19</v>
    </oc>
    <nc r="AJ480">
      <f>87429.19-11092.62</f>
    </nc>
  </rcc>
  <rcc rId="5402" sId="1" numFmtId="4">
    <oc r="AK480">
      <v>0</v>
    </oc>
    <nc r="AK480">
      <v>11092.62</v>
    </nc>
  </rcc>
  <rcc rId="5403" sId="1" numFmtId="4">
    <oc r="AJ486">
      <v>60847.25</v>
    </oc>
    <nc r="AJ486">
      <f>60847.25+46274.32</f>
    </nc>
  </rcc>
  <rcc rId="5404" sId="1" numFmtId="4">
    <oc r="AK486">
      <v>0</v>
    </oc>
    <nc r="AK486">
      <v>12128.97</v>
    </nc>
  </rcc>
  <rcc rId="5405" sId="1" numFmtId="4">
    <oc r="AJ488">
      <v>0</v>
    </oc>
    <nc r="AJ488">
      <v>92792.22</v>
    </nc>
  </rcc>
  <rcv guid="{A87F3E0E-3A8E-4B82-8170-33752259B7DB}" action="delete"/>
  <rdn rId="0" localSheetId="1" customView="1" name="Z_A87F3E0E_3A8E_4B82_8170_33752259B7DB_.wvu.PrintArea" hidden="1" oldHidden="1">
    <formula>Sheet1!$A$1:$AL$524</formula>
    <oldFormula>Sheet1!$A$1:$AL$524</oldFormula>
  </rdn>
  <rdn rId="0" localSheetId="1" customView="1" name="Z_A87F3E0E_3A8E_4B82_8170_33752259B7DB_.wvu.FilterData" hidden="1" oldHidden="1">
    <formula>Sheet1!$A$6:$AL$524</formula>
    <oldFormula>Sheet1!$A$6:$AL$524</oldFormula>
  </rdn>
  <rcv guid="{A87F3E0E-3A8E-4B82-8170-33752259B7DB}" action="add"/>
</revisions>
</file>

<file path=xl/revisions/revisionLog4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08" sId="1" numFmtId="4">
    <oc r="AJ72">
      <v>156760.98000000001</v>
    </oc>
    <nc r="AJ72">
      <f>156760.98+76482.15</f>
    </nc>
  </rcc>
  <rcc rId="5409" sId="1" numFmtId="4">
    <oc r="AK72">
      <v>35271.230000000003</v>
    </oc>
    <nc r="AK72">
      <f>35271.23+17208.49</f>
    </nc>
  </rcc>
  <rcc rId="5410" sId="1" numFmtId="4">
    <oc r="AJ18">
      <v>50.58</v>
    </oc>
    <nc r="AJ18">
      <f>50.58+71118.57</f>
    </nc>
  </rcc>
  <rcc rId="5411" sId="1" numFmtId="4">
    <oc r="AK18">
      <v>7.73</v>
    </oc>
    <nc r="AK18">
      <f>7.73+10876.95</f>
    </nc>
  </rcc>
  <rcc rId="5412" sId="1" numFmtId="4">
    <oc r="AJ24">
      <v>61496.4</v>
    </oc>
    <nc r="AJ24">
      <f>61496.4+125218.28</f>
    </nc>
  </rcc>
  <rcc rId="5413" sId="1" numFmtId="4">
    <oc r="AK24">
      <v>9405.33</v>
    </oc>
    <nc r="AK24">
      <f>9405.33+19151.03</f>
    </nc>
  </rcc>
  <rcc rId="5414" sId="1">
    <oc r="AJ39">
      <f>75266.37-5365.18</f>
    </oc>
    <nc r="AJ39">
      <f>75266.37-5365.18+40445.22</f>
    </nc>
  </rcc>
  <rcc rId="5415" sId="1">
    <oc r="AK39">
      <f>5108.77+5365.18</f>
    </oc>
    <nc r="AK39">
      <f>5108.77+5365.18</f>
    </nc>
  </rcc>
  <rcc rId="5416" sId="1">
    <oc r="AJ54">
      <f>20867.74+18218.8+30425.63</f>
    </oc>
    <nc r="AJ54">
      <f>20867.74+18218.8+30425.63+3648.09</f>
    </nc>
  </rcc>
  <rcc rId="5417" sId="1">
    <oc r="AK54">
      <f>6395.02+3754.28</f>
    </oc>
    <nc r="AK54">
      <f>6395.02+3754.28+1987.29</f>
    </nc>
  </rcc>
  <rcc rId="5418" sId="1" numFmtId="4">
    <oc r="AJ61">
      <v>93322.21</v>
    </oc>
    <nc r="AJ61">
      <f>93322.21+32434.3</f>
    </nc>
  </rcc>
  <rcc rId="5419" sId="1" numFmtId="4">
    <oc r="AK61">
      <v>14272.81</v>
    </oc>
    <nc r="AK61">
      <f>14272.81+4960.54</f>
    </nc>
  </rcc>
  <rcc rId="5420" sId="1" numFmtId="4">
    <oc r="AJ62">
      <v>176594.42</v>
    </oc>
    <nc r="AJ62">
      <f>176594.42+66632.22</f>
    </nc>
  </rcc>
  <rcc rId="5421" sId="1" numFmtId="4">
    <oc r="AK62">
      <v>27008.560000000001</v>
    </oc>
    <nc r="AK62">
      <f>27008.56+10190.81</f>
    </nc>
  </rcc>
  <rcc rId="5422" sId="1" numFmtId="4">
    <oc r="AJ99">
      <v>82700.83</v>
    </oc>
    <nc r="AJ99">
      <f>82700.83+16407.5</f>
    </nc>
  </rcc>
  <rcc rId="5423" sId="1">
    <oc r="AK99">
      <f>10873.44+2461.12</f>
    </oc>
    <nc r="AK99">
      <f>10873.44+2461.12</f>
    </nc>
  </rcc>
  <rcc rId="5424" sId="1">
    <oc r="AJ104">
      <f>41688.25+258393</f>
    </oc>
    <nc r="AJ104">
      <f>41688.25+258393</f>
    </nc>
  </rcc>
  <rcc rId="5425" sId="1">
    <oc r="AK104">
      <f>6375.85+39518.93</f>
    </oc>
    <nc r="AK104">
      <f>6375.85+39518.93</f>
    </nc>
  </rcc>
  <rcc rId="5426" sId="1" numFmtId="4">
    <oc r="AJ106">
      <v>4830.9799999999996</v>
    </oc>
    <nc r="AJ106">
      <f>4830.98+7367.8</f>
    </nc>
  </rcc>
  <rcc rId="5427" sId="1" numFmtId="4">
    <oc r="AK106">
      <v>738.85</v>
    </oc>
    <nc r="AK106">
      <f>738.85+1126.84</f>
    </nc>
  </rcc>
  <rcc rId="5428" sId="1" numFmtId="4">
    <oc r="AJ112">
      <v>0</v>
    </oc>
    <nc r="AJ112">
      <v>27532.48</v>
    </nc>
  </rcc>
  <rcc rId="5429" sId="1" numFmtId="4">
    <oc r="AK112">
      <v>0</v>
    </oc>
    <nc r="AK112">
      <v>4210.8500000000004</v>
    </nc>
  </rcc>
  <rcc rId="5430" sId="1" numFmtId="4">
    <oc r="AJ126">
      <v>26400.15</v>
    </oc>
    <nc r="AJ126">
      <f>26400.15+283575.59</f>
    </nc>
  </rcc>
  <rcc rId="5431" sId="1" numFmtId="4">
    <oc r="AK126">
      <v>4037.67</v>
    </oc>
    <nc r="AK126">
      <f>4037.67+43370.38</f>
    </nc>
  </rcc>
  <rcc rId="5432" sId="1" numFmtId="4">
    <oc r="AJ134">
      <v>0</v>
    </oc>
    <nc r="AJ134">
      <v>23754.1</v>
    </nc>
  </rcc>
  <rcc rId="5433" sId="1" numFmtId="4">
    <oc r="AK134">
      <v>0</v>
    </oc>
    <nc r="AK134">
      <v>3632.98</v>
    </nc>
  </rcc>
  <rcc rId="5434" sId="1" numFmtId="4">
    <oc r="AJ164">
      <v>52755.63</v>
    </oc>
    <nc r="AJ164">
      <f>52755.63+22985.7</f>
    </nc>
  </rcc>
  <rcc rId="5435" sId="1" numFmtId="4">
    <oc r="AK164">
      <v>8068.51</v>
    </oc>
    <nc r="AK164">
      <f>8068.51+3515.46</f>
    </nc>
  </rcc>
  <rcc rId="5436" sId="1" numFmtId="4">
    <oc r="AJ183">
      <v>96397.63</v>
    </oc>
    <nc r="AJ183">
      <f>96397.63+83926.36</f>
    </nc>
  </rcc>
  <rcc rId="5437" sId="1" numFmtId="4">
    <oc r="AK183">
      <v>9960.19</v>
    </oc>
    <nc r="AK183">
      <f>9960.19+14072.92</f>
    </nc>
  </rcc>
  <rcc rId="5438" sId="1">
    <oc r="AJ192">
      <f>139474.65+11873.47+58460.39</f>
    </oc>
    <nc r="AJ192">
      <f>139474.65+11873.47+58460.39+21305.82</f>
    </nc>
  </rcc>
  <rcc rId="5439" sId="1">
    <oc r="AK192">
      <f>21331.41+1815.94+8941</f>
    </oc>
    <nc r="AK192">
      <f>21331.41+1815.94+8941+3258.54</f>
    </nc>
  </rcc>
  <rcc rId="5440" sId="1" numFmtId="4">
    <oc r="AJ193">
      <v>33333.97</v>
    </oc>
    <nc r="AJ193">
      <f>33333.97+12894.42</f>
    </nc>
  </rcc>
  <rcc rId="5441" sId="1" numFmtId="4">
    <oc r="AK193">
      <v>5098.1400000000003</v>
    </oc>
    <nc r="AK193">
      <f>5098.14+1972.08</f>
    </nc>
  </rcc>
  <rcc rId="5442" sId="1" numFmtId="4">
    <oc r="AJ212">
      <v>21406.41</v>
    </oc>
    <nc r="AJ212">
      <f>21406.41+58309.25</f>
    </nc>
  </rcc>
  <rcc rId="5443" sId="1" numFmtId="4">
    <oc r="AK212">
      <v>3273.92</v>
    </oc>
    <nc r="AK212">
      <f>3273.92+8917.89</f>
    </nc>
  </rcc>
  <rcc rId="5444" sId="1" numFmtId="4">
    <oc r="AJ224">
      <v>40294.21</v>
    </oc>
    <nc r="AJ224">
      <f>40294.21+38633.5</f>
    </nc>
  </rcc>
  <rcc rId="5445" sId="1" numFmtId="4">
    <oc r="AK224">
      <v>6162.64</v>
    </oc>
    <nc r="AK224">
      <f>6162.64+5908.66</f>
    </nc>
  </rcc>
  <rcc rId="5446" sId="1">
    <oc r="AJ240">
      <f>14375+7002.3+6416.65</f>
    </oc>
    <nc r="AJ240">
      <f>14375+7002.3+6416.65+7759.57</f>
    </nc>
  </rcc>
  <rcc rId="5447" sId="1">
    <oc r="AK240">
      <f>2198.53+1070.94+981.37</f>
    </oc>
    <nc r="AK240">
      <f>2198.53+1070.94+981.37+1186.75</f>
    </nc>
  </rcc>
  <rcc rId="5448" sId="1">
    <oc r="AK248">
      <f>4618.03+6264.08</f>
    </oc>
    <nc r="AK248">
      <f>4618.03+6264.08+1246.56</f>
    </nc>
  </rcc>
  <rcc rId="5449" sId="1">
    <oc r="AJ276">
      <f>41133.4+12089.93</f>
    </oc>
    <nc r="AJ276">
      <f>41133.4+12089.93+41133.4</f>
    </nc>
  </rcc>
  <rcc rId="5450" sId="1" numFmtId="4">
    <oc r="AJ296">
      <v>120214.04</v>
    </oc>
    <nc r="AJ296">
      <f>120214.04+104774.33</f>
    </nc>
  </rcc>
  <rcc rId="5451" sId="1" numFmtId="4">
    <oc r="AK296">
      <v>18385.68</v>
    </oc>
    <nc r="AK296">
      <f>18385.68+16024.31</f>
    </nc>
  </rcc>
  <rcc rId="5452" sId="1">
    <oc r="AJ297">
      <f>172923.58+1813.03</f>
    </oc>
    <nc r="AJ297">
      <f>172923.58+1813.03+21160</f>
    </nc>
  </rcc>
  <rcc rId="5453" sId="1">
    <oc r="AK297">
      <f>21665.98+2851.77</f>
    </oc>
    <nc r="AK297">
      <f>21665.98+2851.77</f>
    </nc>
  </rcc>
  <rcc rId="5454" sId="1" numFmtId="4">
    <oc r="AJ298">
      <v>63226.44</v>
    </oc>
    <nc r="AJ298">
      <f>63226.44+99468.28</f>
    </nc>
  </rcc>
  <rcc rId="5455" sId="1" numFmtId="4">
    <oc r="AK298">
      <v>9669.93</v>
    </oc>
    <nc r="AK298">
      <f>9669.93+15212.79</f>
    </nc>
  </rcc>
  <rcc rId="5456" sId="1" numFmtId="4">
    <oc r="AJ362">
      <v>91004.83</v>
    </oc>
    <nc r="AJ362">
      <f>91004.83+54990.03-2852.81</f>
    </nc>
  </rcc>
  <rcc rId="5457" sId="1" numFmtId="4">
    <oc r="AK362">
      <v>8258.02</v>
    </oc>
    <nc r="AK362">
      <f>8258.02+14527.48</f>
    </nc>
  </rcc>
  <rcc rId="5458" sId="1">
    <oc r="AJ363">
      <f>14488.25+50968.69+59419.29</f>
    </oc>
    <nc r="AJ363">
      <f>14488.25+50968.69+59419.29+14618.26</f>
    </nc>
  </rcc>
  <rcc rId="5459" sId="1">
    <oc r="AK363">
      <f>2215.85+7795.21+9087.66</f>
    </oc>
    <nc r="AK363">
      <f>2215.85+7795.21+9087.66+2235.73</f>
    </nc>
  </rcc>
  <rcc rId="5460" sId="1" numFmtId="4">
    <oc r="AJ364">
      <v>28255.24</v>
    </oc>
    <nc r="AJ364">
      <f>28255.24+60713.8</f>
    </nc>
  </rcc>
  <rcc rId="5461" sId="1" numFmtId="4">
    <oc r="AK364">
      <v>4321.3900000000003</v>
    </oc>
    <nc r="AK364">
      <f>4321.39+9285.64</f>
    </nc>
  </rcc>
  <rcc rId="5462" sId="1" numFmtId="4">
    <oc r="AJ421">
      <v>31070.04</v>
    </oc>
    <nc r="AJ421">
      <f>31070.04+37860.62</f>
    </nc>
  </rcc>
  <rcc rId="5463" sId="1" numFmtId="4">
    <oc r="AK421">
      <v>4751.8900000000003</v>
    </oc>
    <nc r="AK421">
      <f>4751.89+5790.44</f>
    </nc>
  </rcc>
  <rcc rId="5464" sId="1">
    <oc r="AJ248">
      <f>70082.64+38337.49</f>
    </oc>
    <nc r="AJ248">
      <f>70082.64+38337.49-1246.56</f>
    </nc>
  </rcc>
  <rcc rId="5465" sId="1">
    <oc r="AJ234">
      <f>41760.02+3682.21</f>
    </oc>
    <nc r="AJ234">
      <f>41760.02+3682.21+18068.95</f>
    </nc>
  </rcc>
  <rcc rId="5466" sId="1">
    <oc r="AK234">
      <v>6030.95</v>
    </oc>
    <nc r="AK234">
      <f>6030.95+4165.9</f>
    </nc>
  </rcc>
</revisions>
</file>

<file path=xl/revisions/revisionLog4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67" sId="1">
    <oc r="AJ359">
      <f>1614958.09+116790.02+175736.29+210865.38</f>
    </oc>
    <nc r="AJ359">
      <f>1614958.09+116790.02+175736.29+210865.38+813289.51</f>
    </nc>
  </rcc>
  <rcc rId="5468" sId="1">
    <oc r="AJ360">
      <f>18028067.88+2522724.79+2940219.11+5150825.51</f>
    </oc>
    <nc r="AJ360">
      <f>18028067.88+2522724.79+2940219.11+5150825.51+1054081.31</f>
    </nc>
  </rcc>
</revisions>
</file>

<file path=xl/revisions/revisionLog4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69" sId="1" numFmtId="4">
    <oc r="AJ76">
      <v>0</v>
    </oc>
    <nc r="AJ76">
      <v>39088.01</v>
    </nc>
  </rcc>
  <rcc rId="5470" sId="1" numFmtId="4">
    <oc r="AK76">
      <v>0</v>
    </oc>
    <nc r="AK76">
      <v>8794.7999999999993</v>
    </nc>
  </rcc>
</revisions>
</file>

<file path=xl/revisions/revisionLog4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71" sId="1" numFmtId="4">
    <oc r="AJ113">
      <v>32343.8</v>
    </oc>
    <nc r="AJ113">
      <f>32343.8+5296.55</f>
    </nc>
  </rcc>
  <rcc rId="5472" sId="1" numFmtId="4">
    <oc r="AK113">
      <v>4946.7</v>
    </oc>
    <nc r="AK113">
      <f>4946.7+810.01</f>
    </nc>
  </rcc>
  <rcc rId="5473" sId="1">
    <oc r="AJ157">
      <f>39681.48+14195.1</f>
    </oc>
    <nc r="AJ157">
      <f>39681.48+14195.1+26259.61</f>
    </nc>
  </rcc>
  <rcc rId="5474" sId="1" numFmtId="4">
    <oc r="AK157">
      <v>7488.22</v>
    </oc>
    <nc r="AK157">
      <f>7488.22+4204.9</f>
    </nc>
  </rcc>
  <rcc rId="5475" sId="1" numFmtId="4">
    <oc r="AJ20">
      <v>0</v>
    </oc>
    <nc r="AJ20">
      <v>8730.06</v>
    </nc>
  </rcc>
  <rcc rId="5476" sId="1" numFmtId="4">
    <oc r="AK20">
      <v>0</v>
    </oc>
    <nc r="AK20">
      <v>1335.19</v>
    </nc>
  </rcc>
  <rcc rId="5477" sId="1">
    <oc r="AK185">
      <f>3788.14+2637.6+4760.51</f>
    </oc>
    <nc r="AK185">
      <f>3788.14+2637.6+3407.69</f>
    </nc>
  </rcc>
  <rcc rId="5478" sId="1">
    <oc r="AJ185">
      <f>24768.62+25919.16+26921.69</f>
    </oc>
    <nc r="AJ185">
      <f>24768.62+25919.16+42164.52</f>
    </nc>
  </rcc>
  <rcc rId="5479" sId="1" numFmtId="4">
    <oc r="AJ218">
      <v>28871.96</v>
    </oc>
    <nc r="AJ218">
      <f>28871.96-265.54</f>
    </nc>
  </rcc>
  <rcc rId="5480" sId="1" numFmtId="4">
    <oc r="AK218">
      <v>0</v>
    </oc>
    <nc r="AK218">
      <v>4137.4399999999996</v>
    </nc>
  </rcc>
  <rcc rId="5481" sId="1" numFmtId="4">
    <oc r="AJ271">
      <v>33465.83</v>
    </oc>
    <nc r="AJ271">
      <f>33465.83-3352.6</f>
    </nc>
  </rcc>
  <rcc rId="5482" sId="1" numFmtId="4">
    <oc r="AK271">
      <v>0</v>
    </oc>
    <nc r="AK271">
      <v>3352.6</v>
    </nc>
  </rcc>
  <rcc rId="5483" sId="1" numFmtId="4">
    <oc r="AJ12">
      <v>25442.69</v>
    </oc>
    <nc r="AJ12">
      <f>25442.69+26921.69</f>
    </nc>
  </rcc>
  <rcc rId="5484" sId="1" numFmtId="4">
    <oc r="AK12">
      <v>3248.16</v>
    </oc>
    <nc r="AK12">
      <f>3248.16+4760.51</f>
    </nc>
  </rcc>
  <rcc rId="5485" sId="1" numFmtId="4">
    <oc r="AJ226">
      <v>0</v>
    </oc>
    <nc r="AJ226">
      <v>16106.21</v>
    </nc>
  </rcc>
  <rcc rId="5486" sId="1" numFmtId="4">
    <oc r="AK226">
      <v>0</v>
    </oc>
    <nc r="AK226">
      <v>2463.3000000000002</v>
    </nc>
  </rcc>
  <rcc rId="5487" sId="1" numFmtId="4">
    <nc r="AJ255">
      <v>0</v>
    </nc>
  </rcc>
  <rcc rId="5488" sId="1" numFmtId="4">
    <nc r="AK255">
      <v>0</v>
    </nc>
  </rcc>
  <rfmt sheetId="1" sqref="AJ255:AK255">
    <dxf>
      <numFmt numFmtId="4" formatCode="#,##0.00"/>
    </dxf>
  </rfmt>
  <rcc rId="5489" sId="1" numFmtId="4">
    <oc r="AJ241">
      <v>0</v>
    </oc>
    <nc r="AJ241">
      <v>31913.97</v>
    </nc>
  </rcc>
  <rcc rId="5490" sId="1" numFmtId="4">
    <oc r="AK241">
      <v>0</v>
    </oc>
    <nc r="AK241">
      <v>5112.75</v>
    </nc>
  </rcc>
  <rcc rId="5491" sId="1" numFmtId="4">
    <oc r="AJ184">
      <v>28130</v>
    </oc>
    <nc r="AJ184">
      <f>28130+781.9</f>
    </nc>
  </rcc>
  <rcc rId="5492" sId="1" numFmtId="4">
    <oc r="AK184">
      <v>0</v>
    </oc>
    <nc r="AK184">
      <v>4421.82</v>
    </nc>
  </rcc>
  <rcc rId="5493" sId="1" numFmtId="4">
    <oc r="AK299">
      <v>2524.75</v>
    </oc>
    <nc r="AK299">
      <f>2524.75+7129.77</f>
    </nc>
  </rcc>
  <rcc rId="5494" sId="1" numFmtId="4">
    <oc r="AJ299">
      <v>16507.97</v>
    </oc>
    <nc r="AJ299">
      <f>16507.97+46617.76</f>
    </nc>
  </rcc>
  <rcc rId="5495" sId="1" numFmtId="4">
    <oc r="AJ82">
      <v>0</v>
    </oc>
    <nc r="AJ82">
      <v>13721.01</v>
    </nc>
  </rcc>
  <rcc rId="5496" sId="1" numFmtId="4">
    <oc r="AJ195">
      <v>28906.01</v>
    </oc>
    <nc r="AJ195">
      <f>28906.01+15593.07</f>
    </nc>
  </rcc>
  <rcc rId="5497" sId="1" numFmtId="4">
    <oc r="AK195">
      <v>4420.92</v>
    </oc>
    <nc r="AK195">
      <f>4420.92+2384.82</f>
    </nc>
  </rcc>
  <rcc rId="5498" sId="1" numFmtId="4">
    <oc r="AJ49">
      <v>28775.11</v>
    </oc>
    <nc r="AJ49">
      <f>28775.11+11891.84</f>
    </nc>
  </rcc>
  <rcc rId="5499" sId="1" numFmtId="4">
    <oc r="AK49">
      <v>0</v>
    </oc>
    <nc r="AK49">
      <v>6600.82</v>
    </nc>
  </rcc>
  <rcc rId="5500" sId="1" numFmtId="4">
    <oc r="AJ13">
      <v>0</v>
    </oc>
    <nc r="AJ13">
      <v>11570.2</v>
    </nc>
  </rcc>
  <rcc rId="5501" sId="1" numFmtId="4">
    <oc r="AK13">
      <v>0</v>
    </oc>
    <nc r="AK13">
      <v>1769.56</v>
    </nc>
  </rcc>
  <rcc rId="5502" sId="1" numFmtId="4">
    <oc r="AJ158">
      <v>29969</v>
    </oc>
    <nc r="AJ158">
      <f>29969-3256.9</f>
    </nc>
  </rcc>
  <rcc rId="5503" sId="1" numFmtId="4">
    <oc r="AK158">
      <v>0</v>
    </oc>
    <nc r="AK158">
      <v>3256.9</v>
    </nc>
  </rcc>
  <rcc rId="5504" sId="1" numFmtId="4">
    <oc r="AJ64">
      <v>0</v>
    </oc>
    <nc r="AJ64">
      <v>56093.22</v>
    </nc>
  </rcc>
  <rcc rId="5505" sId="1" numFmtId="4">
    <oc r="AK64">
      <v>0</v>
    </oc>
    <nc r="AK64">
      <v>8578.9599999999991</v>
    </nc>
  </rcc>
  <rcc rId="5506" sId="1" numFmtId="4">
    <oc r="AJ266">
      <v>34229.54</v>
    </oc>
    <nc r="AJ266">
      <f>34229.54+12542.88</f>
    </nc>
  </rcc>
  <rcc rId="5507" sId="1" numFmtId="4">
    <oc r="AK266">
      <v>0</v>
    </oc>
    <nc r="AK266">
      <v>2950.38</v>
    </nc>
  </rcc>
  <rcc rId="5508" sId="1" numFmtId="4">
    <oc r="AJ292">
      <v>29900</v>
    </oc>
    <nc r="AJ292">
      <f>29900+23800.54</f>
    </nc>
  </rcc>
  <rcc rId="5509" sId="1" numFmtId="4">
    <oc r="AK292">
      <v>0</v>
    </oc>
    <nc r="AK292">
      <v>8213.02</v>
    </nc>
  </rcc>
  <rcc rId="5510" sId="1" numFmtId="4">
    <oc r="AJ127">
      <v>27300.6</v>
    </oc>
    <nc r="AJ127">
      <f>27300.6+41576.52</f>
    </nc>
  </rcc>
  <rcc rId="5511" sId="1" numFmtId="4">
    <oc r="AK127">
      <v>0</v>
    </oc>
    <nc r="AK127">
      <v>10534.15</v>
    </nc>
  </rcc>
  <rfmt sheetId="1" sqref="AJ127:AK127" start="0" length="2147483647">
    <dxf>
      <font>
        <b val="0"/>
      </font>
    </dxf>
  </rfmt>
  <rcc rId="5512" sId="1" numFmtId="4">
    <oc r="AJ91">
      <v>0</v>
    </oc>
    <nc r="AJ91">
      <v>51023.72</v>
    </nc>
  </rcc>
  <rcc rId="5513" sId="1" numFmtId="4">
    <oc r="AK91">
      <v>0</v>
    </oc>
    <nc r="AK91">
      <v>7803.63</v>
    </nc>
  </rcc>
  <rcc rId="5514" sId="1" numFmtId="4">
    <oc r="AJ136">
      <v>20000</v>
    </oc>
    <nc r="AJ136">
      <f>20000+13556.78</f>
    </nc>
  </rcc>
  <rcc rId="5515" sId="1" numFmtId="4">
    <oc r="AK136">
      <v>0</v>
    </oc>
    <nc r="AK136">
      <v>5449.39</v>
    </nc>
  </rcc>
  <rcc rId="5516" sId="1">
    <oc r="AJ194">
      <f>28481.34-3066.97</f>
    </oc>
    <nc r="AJ194">
      <f>28481.34-3066.97+23120.26</f>
    </nc>
  </rcc>
  <rcc rId="5517" sId="1" numFmtId="4">
    <oc r="AJ305">
      <v>0</v>
    </oc>
    <nc r="AJ305">
      <v>74317.960000000006</v>
    </nc>
  </rcc>
  <rcc rId="5518" sId="1" numFmtId="4">
    <oc r="AK305">
      <v>0</v>
    </oc>
    <nc r="AK305">
      <v>11366.28</v>
    </nc>
  </rcc>
  <rcc rId="5519" sId="1" numFmtId="4">
    <oc r="AJ138">
      <v>28223.200000000001</v>
    </oc>
    <nc r="AJ138">
      <f>28223.2-2998.75</f>
    </nc>
  </rcc>
  <rcc rId="5520" sId="1" numFmtId="4">
    <oc r="AK138">
      <v>0</v>
    </oc>
    <nc r="AK138">
      <v>2998.75</v>
    </nc>
  </rcc>
  <rcc rId="5521" sId="1">
    <oc r="AJ456">
      <f>282756.47-22704</f>
    </oc>
    <nc r="AJ456">
      <f>282756.47-22704+3451.47</f>
    </nc>
  </rcc>
  <rcc rId="5522" sId="1" numFmtId="4">
    <oc r="AK456">
      <v>22703.99</v>
    </oc>
    <nc r="AK456">
      <f>22703.99+27547.51</f>
    </nc>
  </rcc>
  <rcc rId="5523" sId="1">
    <oc r="AJ418">
      <f>413506.52+39634.08</f>
    </oc>
    <nc r="AJ418">
      <f>413506.52+39634.08+203862.73</f>
    </nc>
  </rcc>
  <rcc rId="5524" sId="1" numFmtId="4">
    <oc r="AK418">
      <v>51329.52</v>
    </oc>
    <nc r="AK418">
      <f>51329.52+25659.99</f>
    </nc>
  </rcc>
  <rcc rId="5525" sId="1">
    <oc r="AJ442">
      <f>548484.27-41743</f>
    </oc>
    <nc r="AJ442">
      <f>548484.27-41743+295621.66</f>
    </nc>
  </rcc>
  <rcc rId="5526" sId="1" numFmtId="4">
    <oc r="AK442">
      <v>41743.03</v>
    </oc>
    <nc r="AK442">
      <f>41743.03+36457.11</f>
    </nc>
  </rcc>
  <rcc rId="5527" sId="1">
    <oc r="AJ426">
      <f>388971+375144.58</f>
    </oc>
    <nc r="AJ426">
      <f>388971+375144.58-54672.24</f>
    </nc>
  </rcc>
  <rcc rId="5528" sId="1" numFmtId="4">
    <oc r="AK426">
      <v>71541.919999999998</v>
    </oc>
    <nc r="AK426">
      <f>71541.92+54951.43</f>
    </nc>
  </rcc>
</revisions>
</file>

<file path=xl/revisions/revisionLog4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29" sId="1" numFmtId="4">
    <oc r="AJ417">
      <v>43102.2</v>
    </oc>
    <nc r="AJ417">
      <f>43102.2+366371.99</f>
    </nc>
  </rcc>
  <rcc rId="5530" sId="1">
    <oc r="AJ451">
      <f>162179.72+66847.3</f>
    </oc>
    <nc r="AJ451">
      <f>162179.72+66847.3+174727.59</f>
    </nc>
  </rcc>
  <rcc rId="5531" sId="1" numFmtId="4">
    <oc r="AJ26">
      <v>37011.15</v>
    </oc>
    <nc r="AJ26">
      <f>37011.15+21320.94</f>
    </nc>
  </rcc>
  <rcc rId="5532" sId="1" numFmtId="4">
    <oc r="AK26">
      <v>5660.53</v>
    </oc>
    <nc r="AK26">
      <f>5660.53+3260.85</f>
    </nc>
  </rcc>
  <rcc rId="5533" sId="1">
    <oc r="AJ166">
      <f>41000-4123.49</f>
    </oc>
    <nc r="AJ166">
      <f>41000-4123.49+46557.9</f>
    </nc>
  </rcc>
  <rcc rId="5534" sId="1" numFmtId="4">
    <oc r="AK166">
      <v>5639.94</v>
    </oc>
    <nc r="AK166">
      <f>5639.94+7120.62</f>
    </nc>
  </rcc>
  <rcc rId="5535" sId="1" numFmtId="4">
    <oc r="AJ31">
      <v>36606.19</v>
    </oc>
    <nc r="AJ31">
      <f>36606.19+59255.8</f>
    </nc>
  </rcc>
  <rcc rId="5536" sId="1" numFmtId="4">
    <oc r="AK31">
      <v>5598.59</v>
    </oc>
    <nc r="AK31">
      <f>5598.59+9062.65</f>
    </nc>
  </rcc>
  <rcc rId="5537" sId="1">
    <oc r="AJ225">
      <v>29938.25</v>
    </oc>
    <nc r="AJ225">
      <f>29938.25-3891.97</f>
    </nc>
  </rcc>
  <rcc rId="5538" sId="1" numFmtId="4">
    <oc r="AK225">
      <v>0</v>
    </oc>
    <nc r="AK225">
      <v>3891.97</v>
    </nc>
  </rcc>
  <rcc rId="5539" sId="1" numFmtId="4">
    <oc r="AJ261">
      <v>0</v>
    </oc>
    <nc r="AJ261">
      <v>21878.75</v>
    </nc>
  </rcc>
  <rcc rId="5540" sId="1" numFmtId="4">
    <oc r="AK261">
      <v>0</v>
    </oc>
    <nc r="AK261">
      <v>3346.16</v>
    </nc>
  </rcc>
  <rcc rId="5541" sId="1" numFmtId="4">
    <oc r="AJ249">
      <v>57677.81</v>
    </oc>
    <nc r="AJ249">
      <f>57677.81+46119.33</f>
    </nc>
  </rcc>
  <rcc rId="5542" sId="1" numFmtId="4">
    <oc r="AK249">
      <v>8821.31</v>
    </oc>
    <nc r="AK249">
      <f>8821.31+7053.55</f>
    </nc>
  </rcc>
  <rcc rId="5543" sId="1" numFmtId="4">
    <oc r="AJ19">
      <v>0</v>
    </oc>
    <nc r="AJ19">
      <v>24243.73</v>
    </nc>
  </rcc>
  <rcc rId="5544" sId="1" numFmtId="4">
    <oc r="AK19">
      <v>0</v>
    </oc>
    <nc r="AK19">
      <v>3707.87</v>
    </nc>
  </rcc>
  <rcc rId="5545" sId="1" numFmtId="4">
    <oc r="AJ55">
      <v>0</v>
    </oc>
    <nc r="AJ55">
      <v>44348.46</v>
    </nc>
  </rcc>
  <rcc rId="5546" sId="1" numFmtId="4">
    <oc r="AK55">
      <v>0</v>
    </oc>
    <nc r="AK55">
      <v>6782.71</v>
    </nc>
  </rcc>
  <rcc rId="5547" sId="1" numFmtId="4">
    <oc r="AJ11">
      <v>49080.06</v>
    </oc>
    <nc r="AJ11">
      <f>49080.06+14949.98</f>
    </nc>
  </rcc>
  <rcc rId="5548" sId="1" numFmtId="4">
    <oc r="AK11">
      <v>3856</v>
    </oc>
    <nc r="AK11">
      <f>3856+2638.23</f>
    </nc>
  </rcc>
  <rcc rId="5549" sId="1" numFmtId="4">
    <oc r="AJ137">
      <v>35636.51</v>
    </oc>
    <nc r="AJ137">
      <f>35636.51+21048.64</f>
    </nc>
  </rcc>
  <rcc rId="5550" sId="1" numFmtId="4">
    <oc r="AK137">
      <v>0</v>
    </oc>
    <nc r="AK137">
      <v>2750.67</v>
    </nc>
  </rcc>
  <rcc rId="5551" sId="1" numFmtId="4">
    <oc r="AJ267">
      <v>55280.09</v>
    </oc>
    <nc r="AJ267">
      <f>55280.09+14628.07</f>
    </nc>
  </rcc>
  <rcc rId="5552" sId="1" numFmtId="4">
    <oc r="AK267">
      <v>2532.5100000000002</v>
    </oc>
    <nc r="AK267">
      <f>2532.51+2255.31</f>
    </nc>
  </rcc>
  <rcc rId="5553" sId="1" numFmtId="4">
    <oc r="AJ291">
      <v>0</v>
    </oc>
    <nc r="AJ291">
      <v>37222.35</v>
    </nc>
  </rcc>
  <rcc rId="5554" sId="1" numFmtId="4">
    <oc r="AK291">
      <v>0</v>
    </oc>
    <nc r="AK291">
      <v>5692.83</v>
    </nc>
  </rcc>
  <rcc rId="5555" sId="1" numFmtId="4">
    <oc r="AJ14">
      <v>24006.26</v>
    </oc>
    <nc r="AJ14">
      <f>24006.26+36929.64</f>
    </nc>
  </rcc>
  <rcc rId="5556" sId="1" numFmtId="4">
    <oc r="AK14">
      <v>3671.55</v>
    </oc>
    <nc r="AK14">
      <f>3671.55+5648.06</f>
    </nc>
  </rcc>
  <rcc rId="5557" sId="1" numFmtId="4">
    <oc r="AJ286">
      <v>38381.620000000003</v>
    </oc>
    <nc r="AJ286">
      <f>38381.62-1141.39</f>
    </nc>
  </rcc>
  <rcc rId="5558" sId="1" numFmtId="4">
    <oc r="AK286">
      <v>0</v>
    </oc>
    <nc r="AK286">
      <v>5695.57</v>
    </nc>
  </rcc>
  <rcc rId="5559" sId="1" numFmtId="4">
    <oc r="AJ92">
      <v>0</v>
    </oc>
    <nc r="AJ92">
      <v>49488</v>
    </nc>
  </rcc>
  <rcc rId="5560" sId="1" numFmtId="4">
    <oc r="AJ135">
      <v>37115.760000000002</v>
    </oc>
    <nc r="AJ135">
      <f>37115.76+50985.81</f>
    </nc>
  </rcc>
  <rcc rId="5561" sId="1" numFmtId="4">
    <oc r="AK135">
      <v>5676.53</v>
    </oc>
    <nc r="AK135">
      <f>5676.53+7797.82</f>
    </nc>
  </rcc>
  <rcc rId="5562" sId="1" numFmtId="4">
    <oc r="AJ353">
      <v>122689.41</v>
    </oc>
    <nc r="AJ353">
      <f>122689.41+119337.51</f>
    </nc>
  </rcc>
  <rcc rId="5563" sId="1">
    <oc r="AJ385">
      <f>46758.01+81807.84</f>
    </oc>
    <nc r="AJ385">
      <f>46758.01+81807.84+85847.46</f>
    </nc>
  </rcc>
  <rcc rId="5564" sId="1">
    <oc r="AJ342">
      <f>69562.99+104629.25+99957.75</f>
    </oc>
    <nc r="AJ342">
      <f>69562.99+104629.25+99957.75+221484.48</f>
    </nc>
  </rcc>
  <rcc rId="5565" sId="1">
    <oc r="AJ343">
      <f>18637.33+286940.34</f>
    </oc>
    <nc r="AJ343">
      <f>18637.33+286940.34+81387.29</f>
    </nc>
  </rcc>
  <rcc rId="5566" sId="1">
    <oc r="AJ344">
      <f>27068+159937+61959.1+719797.57</f>
    </oc>
    <nc r="AJ344">
      <f>27068+159937+61959.1+719797.57+221414.47</f>
    </nc>
  </rcc>
  <rcc rId="5567" sId="1">
    <oc r="AJ373">
      <f>59335.44+64701.17</f>
    </oc>
    <nc r="AJ373">
      <f>59335.44+64701.17+90758.49</f>
    </nc>
  </rcc>
  <rcc rId="5568" sId="1">
    <oc r="AJ346">
      <f>159716.44+74879.59</f>
    </oc>
    <nc r="AJ346">
      <f>159716.44+74879.59+127159.41</f>
    </nc>
  </rcc>
  <rcc rId="5569" sId="1">
    <oc r="AJ347">
      <f>122452.96+57358.87</f>
    </oc>
    <nc r="AJ347">
      <f>122452.96+57358.87+100383.61</f>
    </nc>
  </rcc>
  <rcc rId="5570" sId="1" numFmtId="4">
    <oc r="AJ348">
      <v>41796.800000000003</v>
    </oc>
    <nc r="AJ348">
      <f>41796.8+106506.65</f>
    </nc>
  </rcc>
  <rcc rId="5571" sId="1">
    <oc r="AJ349">
      <f>15818.36+6578.46</f>
    </oc>
    <nc r="AJ349">
      <f>15818.36+6578.46+48495.02</f>
    </nc>
  </rcc>
  <rcc rId="5572" sId="1" numFmtId="4">
    <oc r="AJ350">
      <v>38081.64</v>
    </oc>
    <nc r="AJ350">
      <f>38081.64+10353.53</f>
    </nc>
  </rcc>
  <rcc rId="5573" sId="1">
    <oc r="AJ345">
      <f>4923177.41+2008542+5450879.77</f>
    </oc>
    <nc r="AJ345">
      <f>4923177.41+2008542+5450879.77+3758413.79</f>
    </nc>
  </rcc>
  <rcc rId="5574" sId="1">
    <oc r="AJ351">
      <f>279828.68+528409.7</f>
    </oc>
    <nc r="AJ351">
      <f>279828.68+528409.7+438718.76</f>
    </nc>
  </rcc>
  <rcc rId="5575" sId="1" numFmtId="4">
    <oc r="AJ356">
      <v>143481.84</v>
    </oc>
    <nc r="AJ356">
      <f>143481.84+21902.16</f>
    </nc>
  </rcc>
  <rcc rId="5576" sId="1">
    <oc r="AJ357">
      <f>29668.14+28646.05</f>
    </oc>
    <nc r="AJ357">
      <f>29668.14+28646.05+103144.15</f>
    </nc>
  </rcc>
  <rcc rId="5577" sId="1" numFmtId="4">
    <oc r="AJ443">
      <v>16075.53</v>
    </oc>
    <nc r="AJ443">
      <f>16075.53+34286.38</f>
    </nc>
  </rcc>
  <rcc rId="5578" sId="1" numFmtId="4">
    <oc r="AJ441">
      <v>0</v>
    </oc>
    <nc r="AJ441">
      <v>22377.18</v>
    </nc>
  </rcc>
  <rcc rId="5579" sId="1" numFmtId="4">
    <oc r="AJ384">
      <v>353113.65</v>
    </oc>
    <nc r="AJ384">
      <f>353113.65+235442.42</f>
    </nc>
  </rcc>
  <rcc rId="5580" sId="1" numFmtId="4">
    <oc r="AJ386">
      <v>25605.84</v>
    </oc>
    <nc r="AJ386">
      <f>25605.84+62835.23</f>
    </nc>
  </rcc>
  <rcc rId="5581" sId="1">
    <oc r="AJ429">
      <v>253980</v>
    </oc>
    <nc r="AJ429">
      <f>253980+93643.83</f>
    </nc>
  </rcc>
  <rcc rId="5582" sId="1" numFmtId="4">
    <oc r="AK429">
      <v>0</v>
    </oc>
    <nc r="AK429">
      <v>4416.62</v>
    </nc>
  </rcc>
  <rcc rId="5583" sId="1" numFmtId="4">
    <oc r="AJ397">
      <v>0</v>
    </oc>
    <nc r="AJ397">
      <v>96923.08</v>
    </nc>
  </rcc>
  <rcc rId="5584" sId="1" numFmtId="4">
    <nc r="AJ491">
      <v>0</v>
    </nc>
  </rcc>
  <rcc rId="5585" sId="1" numFmtId="4">
    <nc r="AK491">
      <v>0</v>
    </nc>
  </rcc>
  <rcc rId="5586" sId="1" numFmtId="4">
    <nc r="AJ492">
      <v>0</v>
    </nc>
  </rcc>
  <rcc rId="5587" sId="1" numFmtId="4">
    <nc r="AK492">
      <v>0</v>
    </nc>
  </rcc>
  <rcc rId="5588" sId="1" numFmtId="4">
    <oc r="AJ75">
      <v>0</v>
    </oc>
    <nc r="AJ75">
      <v>120031.42</v>
    </nc>
  </rcc>
  <rcc rId="5589" sId="1" numFmtId="4">
    <oc r="AJ398">
      <v>145011.94</v>
    </oc>
    <nc r="AJ398">
      <f>145011.94+359253.32</f>
    </nc>
  </rcc>
  <rcc rId="5590" sId="1" numFmtId="4">
    <oc r="AJ402">
      <v>155213.76000000001</v>
    </oc>
    <nc r="AJ402">
      <f>155213.76+241470.09</f>
    </nc>
  </rcc>
</revisions>
</file>

<file path=xl/revisions/revisionLog4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91" sId="1" numFmtId="4">
    <oc r="U458">
      <v>158203.22</v>
    </oc>
    <nc r="U458">
      <v>158203.21</v>
    </nc>
  </rcc>
  <rcc rId="5592" sId="1" numFmtId="4">
    <oc r="X458">
      <v>39550.800000000003</v>
    </oc>
    <nc r="X458">
      <v>39550.79</v>
    </nc>
  </rcc>
  <rcc rId="5593" sId="1" numFmtId="4">
    <oc r="Z458">
      <v>15822.69</v>
    </oc>
    <nc r="Z458">
      <v>15822.67</v>
    </nc>
  </rcc>
  <rcc rId="5594" sId="1" numFmtId="4">
    <oc r="AA458">
      <v>4035.83</v>
    </oc>
    <nc r="AA458">
      <v>4035.85</v>
    </nc>
  </rcc>
  <rcc rId="5595" sId="1" numFmtId="4">
    <oc r="T458">
      <v>659016.68000000005</v>
    </oc>
    <nc r="T458">
      <v>659016.69999999995</v>
    </nc>
  </rcc>
  <rcv guid="{901F9774-8BE7-424D-87C2-1026F3FA2E93}" action="delete"/>
  <rdn rId="0" localSheetId="1" customView="1" name="Z_901F9774_8BE7_424D_87C2_1026F3FA2E93_.wvu.PrintArea" hidden="1" oldHidden="1">
    <formula>Sheet1!$A$1:$AL$524</formula>
    <oldFormula>Sheet1!$A$1:$AL$524</oldFormula>
  </rdn>
  <rdn rId="0" localSheetId="1" customView="1" name="Z_901F9774_8BE7_424D_87C2_1026F3FA2E93_.wvu.FilterData" hidden="1" oldHidden="1">
    <formula>Sheet1!$C$1:$C$531</formula>
    <oldFormula>Sheet1!$C$1:$C$531</oldFormula>
  </rdn>
  <rcv guid="{901F9774-8BE7-424D-87C2-1026F3FA2E93}" action="add"/>
</revisions>
</file>

<file path=xl/revisions/revisionLog4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98" sId="1" odxf="1" dxf="1" numFmtId="19">
    <nc r="AL458">
      <v>43472</v>
    </nc>
    <odxf>
      <numFmt numFmtId="0" formatCode="General"/>
    </odxf>
    <ndxf>
      <numFmt numFmtId="19" formatCode="dd/mm/yyyy"/>
    </ndxf>
  </rcc>
  <rcc rId="5599" sId="1">
    <nc r="AM458" t="inlineStr">
      <is>
        <t>AA1/18.12.2018</t>
      </is>
    </nc>
  </rcc>
</revisions>
</file>

<file path=xl/revisions/revisionLog4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00" sId="1">
    <oc r="AM458" t="inlineStr">
      <is>
        <t>AA1/18.12.2018</t>
      </is>
    </oc>
    <nc r="AM458"/>
  </rcc>
  <rcc rId="5601" sId="1" xfDxf="1" dxf="1">
    <oc r="AI458" t="inlineStr">
      <is>
        <t>n/a</t>
      </is>
    </oc>
    <nc r="AI458" t="inlineStr">
      <is>
        <t>AA1/18.12.2018</t>
      </is>
    </nc>
    <ndxf>
      <font>
        <sz val="12"/>
        <name val="Trebuchet MS"/>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ndxf>
  </rcc>
  <rcc rId="5602" sId="1" numFmtId="19">
    <oc r="AL458">
      <v>43472</v>
    </oc>
    <nc r="AL458"/>
  </rcc>
  <rcv guid="{901F9774-8BE7-424D-87C2-1026F3FA2E93}" action="delete"/>
  <rdn rId="0" localSheetId="1" customView="1" name="Z_901F9774_8BE7_424D_87C2_1026F3FA2E93_.wvu.PrintArea" hidden="1" oldHidden="1">
    <formula>Sheet1!$A$1:$AL$524</formula>
    <oldFormula>Sheet1!$A$1:$AL$524</oldFormula>
  </rdn>
  <rdn rId="0" localSheetId="1" customView="1" name="Z_901F9774_8BE7_424D_87C2_1026F3FA2E93_.wvu.FilterData" hidden="1" oldHidden="1">
    <formula>Sheet1!$A$1:$AM$497</formula>
    <oldFormula>Sheet1!$C$1:$C$531</oldFormula>
  </rdn>
  <rcv guid="{901F9774-8BE7-424D-87C2-1026F3FA2E93}" action="add"/>
</revisions>
</file>

<file path=xl/revisions/revisionLog4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05" sId="1">
    <nc r="C493">
      <v>393</v>
    </nc>
  </rcc>
  <rcc rId="5606" sId="1">
    <nc r="B493">
      <v>116103</v>
    </nc>
  </rcc>
  <rcc rId="5607" sId="1">
    <nc r="E493" t="inlineStr">
      <is>
        <t>RB</t>
      </is>
    </nc>
  </rcc>
  <rcc rId="5608" sId="1">
    <nc r="F493" t="inlineStr">
      <is>
        <t>IP8/2017 (MySMIS:
POCA/129/1/1)</t>
      </is>
    </nc>
  </rcc>
  <rfmt sheetId="1" sqref="G491:G493" start="0" length="2147483647">
    <dxf>
      <font>
        <color auto="1"/>
      </font>
    </dxf>
  </rfmt>
  <rfmt sheetId="1" sqref="G491" start="0" length="0">
    <dxf>
      <font>
        <sz val="12"/>
        <color auto="1"/>
        <charset val="1"/>
      </font>
    </dxf>
  </rfmt>
  <rfmt sheetId="1" sqref="G492" start="0" length="0">
    <dxf>
      <font>
        <sz val="12"/>
        <color auto="1"/>
        <charset val="1"/>
      </font>
    </dxf>
  </rfmt>
  <rcc rId="5609" sId="1" odxf="1" dxf="1">
    <nc r="G493" t="inlineStr">
      <is>
        <t>Consolidarea capacitatii institutionale a Ministerului Cercetarii si Inovarii prin optimizarea proceselor
decizionale in domeniul de cercetare-dezvoltare si inovare</t>
      </is>
    </nc>
    <ndxf>
      <font>
        <sz val="12"/>
        <color auto="1"/>
        <charset val="1"/>
      </font>
    </ndxf>
  </rcc>
  <rcc rId="5610" sId="1">
    <nc r="H493" t="inlineStr">
      <is>
        <t>Ministerul Cercetarii si Inovarii</t>
      </is>
    </nc>
  </rcc>
  <rfmt sheetId="1" sqref="I493">
    <dxf>
      <alignment horizontal="left"/>
    </dxf>
  </rfmt>
  <rcc rId="5611" sId="1">
    <nc r="I493" t="inlineStr">
      <is>
        <t xml:space="preserve">1. Universitatea Dunarea de Jos
2. ASE
3. Institutul National de Cercetare-Dezvoltare
Pentru Mecatronica si
Tehnica Masurarii - I.N.C.D.M.T.M.
</t>
      </is>
    </nc>
  </rcc>
  <rcv guid="{53ED3D47-B2C0-43A1-9A1E-F030D529F74C}" action="delete"/>
  <rdn rId="0" localSheetId="1" customView="1" name="Z_53ED3D47_B2C0_43A1_9A1E_F030D529F74C_.wvu.PrintArea" hidden="1" oldHidden="1">
    <formula>Sheet1!$A$1:$AL$524</formula>
    <oldFormula>Sheet1!$A$1:$AL$524</oldFormula>
  </rdn>
  <rdn rId="0" localSheetId="1" customView="1" name="Z_53ED3D47_B2C0_43A1_9A1E_F030D529F74C_.wvu.FilterData" hidden="1" oldHidden="1">
    <formula>Sheet1!$A$6:$AL$524</formula>
    <oldFormula>Sheet1!$A$6:$AL$524</oldFormula>
  </rdn>
  <rcv guid="{53ED3D47-B2C0-43A1-9A1E-F030D529F74C}" action="add"/>
</revisions>
</file>

<file path=xl/revisions/revisionLog4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14" sId="1">
    <nc r="J493" t="inlineStr">
      <is>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is>
    </nc>
  </rcc>
  <rcc rId="5615" sId="1" numFmtId="19">
    <nc r="K493">
      <v>43818</v>
    </nc>
  </rcc>
  <rcc rId="5616" sId="1" numFmtId="19">
    <nc r="L493">
      <v>44246</v>
    </nc>
  </rcc>
  <rcc rId="5617" sId="1">
    <nc r="N493" t="inlineStr">
      <is>
        <t>Proiect cu acoperire națională</t>
      </is>
    </nc>
  </rcc>
  <rcc rId="5618" sId="1">
    <nc r="O493" t="inlineStr">
      <is>
        <t>București</t>
      </is>
    </nc>
  </rcc>
  <rcc rId="5619" sId="1">
    <nc r="P493" t="inlineStr">
      <is>
        <t>București</t>
      </is>
    </nc>
  </rcc>
  <rcc rId="5620" sId="1">
    <nc r="Q493" t="inlineStr">
      <is>
        <t>APC</t>
      </is>
    </nc>
  </rcc>
  <rcc rId="5621" sId="1">
    <nc r="R493" t="inlineStr">
      <is>
        <t>119 - Investiții în capacitatea instituțională și în eficiența administrațiilor și a serviciilor publice la nivel național, regional și local, în perspectiva realizării de reforme, a unei mai bune legiferări și a bunei guvernanțe</t>
      </is>
    </nc>
  </rcc>
  <rcc rId="5622" sId="1">
    <nc r="AH493" t="inlineStr">
      <is>
        <t>în implementare</t>
      </is>
    </nc>
  </rcc>
  <rcc rId="5623" sId="1" numFmtId="4">
    <nc r="U493">
      <v>1289801.77</v>
    </nc>
  </rcc>
  <rcc rId="5624" sId="1" numFmtId="4">
    <nc r="T493">
      <v>5372840.5599999996</v>
    </nc>
  </rcc>
</revisions>
</file>

<file path=xl/revisions/revisionLog4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25" sId="1" numFmtId="4">
    <nc r="X493">
      <v>142335.25541297899</v>
    </nc>
  </rcc>
  <rcc rId="5626" sId="1" numFmtId="4">
    <nc r="W493">
      <v>403028.12</v>
    </nc>
  </rcc>
  <rcc rId="5627" sId="1" numFmtId="4">
    <nc r="Z493">
      <v>545120.19999999995</v>
    </nc>
  </rcc>
  <rcc rId="5628" sId="1" numFmtId="4">
    <nc r="AA493">
      <v>180115.19</v>
    </nc>
  </rcc>
</revisions>
</file>

<file path=xl/revisions/revisionLog4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29" sId="1" numFmtId="4">
    <nc r="AC493">
      <v>0</v>
    </nc>
  </rcc>
  <rcc rId="5630" sId="1" numFmtId="4">
    <nc r="AD493">
      <v>0</v>
    </nc>
  </rcc>
  <rcc rId="5631" sId="1" numFmtId="4">
    <nc r="AF493">
      <v>0</v>
    </nc>
  </rcc>
</revisions>
</file>

<file path=xl/revisions/revisionLog4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32" sId="1">
    <nc r="D493" t="inlineStr">
      <is>
        <t>RB</t>
      </is>
    </nc>
  </rcc>
  <rcc rId="5633" sId="1" odxf="1" dxf="1">
    <oc r="E493" t="inlineStr">
      <is>
        <t>RB</t>
      </is>
    </oc>
    <nc r="E493" t="inlineStr">
      <is>
        <t>AP1/11i /1.1</t>
      </is>
    </nc>
    <odxf>
      <fill>
        <patternFill patternType="none">
          <bgColor indexed="65"/>
        </patternFill>
      </fill>
    </odxf>
    <ndxf>
      <fill>
        <patternFill patternType="solid">
          <bgColor theme="0"/>
        </patternFill>
      </fill>
    </ndxf>
  </rcc>
</revisions>
</file>

<file path=xl/revisions/revisionLog4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C1B4D6D-D666-48DD-AB17-E00791B6F0B6}" action="delete"/>
  <rdn rId="0" localSheetId="1" customView="1" name="Z_7C1B4D6D_D666_48DD_AB17_E00791B6F0B6_.wvu.PrintArea" hidden="1" oldHidden="1">
    <formula>Sheet1!$A$1:$AL$524</formula>
    <oldFormula>Sheet1!$A$1:$AL$524</oldFormula>
  </rdn>
  <rdn rId="0" localSheetId="1" customView="1" name="Z_7C1B4D6D_D666_48DD_AB17_E00791B6F0B6_.wvu.FilterData" hidden="1" oldHidden="1">
    <formula>Sheet1!$A$7:$DG$497</formula>
    <oldFormula>Sheet1!$A$7:$DG$497</oldFormula>
  </rdn>
  <rcv guid="{7C1B4D6D-D666-48DD-AB17-E00791B6F0B6}" action="add"/>
</revisions>
</file>

<file path=xl/revisions/revisionLog4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04:XFD504">
    <dxf>
      <fill>
        <patternFill>
          <bgColor rgb="FFFFC000"/>
        </patternFill>
      </fill>
    </dxf>
  </rfmt>
  <rfmt sheetId="1" sqref="A505:XFD505">
    <dxf>
      <fill>
        <patternFill>
          <bgColor rgb="FFFFC000"/>
        </patternFill>
      </fill>
    </dxf>
  </rfmt>
  <rfmt sheetId="1" sqref="A504" start="0" length="0">
    <dxf>
      <fill>
        <patternFill>
          <bgColor theme="0" tint="-0.14999847407452621"/>
        </patternFill>
      </fill>
    </dxf>
  </rfmt>
  <rfmt sheetId="1" sqref="B504" start="0" length="0">
    <dxf>
      <fill>
        <patternFill>
          <bgColor rgb="FFFFFF00"/>
        </patternFill>
      </fill>
    </dxf>
  </rfmt>
  <rfmt sheetId="1" sqref="C504" start="0" length="0">
    <dxf>
      <fill>
        <patternFill>
          <bgColor rgb="FFFFFF00"/>
        </patternFill>
      </fill>
    </dxf>
  </rfmt>
  <rcc rId="5636" sId="1" odxf="1" dxf="1">
    <oc r="D504">
      <f>COUNTIFS(F$8:F$498,$F504)</f>
    </oc>
    <nc r="D504">
      <f>COUNTIFS(F$8:F$498,$F504)</f>
    </nc>
    <odxf>
      <fill>
        <patternFill>
          <bgColor rgb="FFFFC000"/>
        </patternFill>
      </fill>
    </odxf>
    <ndxf>
      <fill>
        <patternFill>
          <bgColor rgb="FFFFFF00"/>
        </patternFill>
      </fill>
    </ndxf>
  </rcc>
  <rfmt sheetId="1" sqref="E504" start="0" length="0">
    <dxf>
      <fill>
        <patternFill>
          <bgColor theme="0" tint="-0.14999847407452621"/>
        </patternFill>
      </fill>
    </dxf>
  </rfmt>
  <rfmt sheetId="1" sqref="F504" start="0" length="0">
    <dxf>
      <font>
        <sz val="12"/>
        <color auto="1"/>
      </font>
      <fill>
        <patternFill>
          <bgColor rgb="FFFFFF00"/>
        </patternFill>
      </fill>
      <alignment wrapText="0"/>
    </dxf>
  </rfmt>
  <rfmt sheetId="1" sqref="G504" start="0" length="0">
    <dxf>
      <fill>
        <patternFill>
          <bgColor theme="0" tint="-0.14999847407452621"/>
        </patternFill>
      </fill>
    </dxf>
  </rfmt>
  <rfmt sheetId="1" sqref="H504" start="0" length="0">
    <dxf>
      <fill>
        <patternFill>
          <bgColor theme="0" tint="-0.14999847407452621"/>
        </patternFill>
      </fill>
    </dxf>
  </rfmt>
  <rfmt sheetId="1" sqref="I504" start="0" length="0">
    <dxf>
      <fill>
        <patternFill>
          <bgColor rgb="FFFFFF00"/>
        </patternFill>
      </fill>
    </dxf>
  </rfmt>
  <rfmt sheetId="1" sqref="J504" start="0" length="0">
    <dxf>
      <fill>
        <patternFill>
          <bgColor theme="0" tint="-0.14999847407452621"/>
        </patternFill>
      </fill>
    </dxf>
  </rfmt>
  <rfmt sheetId="1" sqref="K504" start="0" length="0">
    <dxf>
      <fill>
        <patternFill>
          <bgColor theme="0"/>
        </patternFill>
      </fill>
    </dxf>
  </rfmt>
  <rfmt sheetId="1" sqref="L504" start="0" length="0">
    <dxf>
      <fill>
        <patternFill>
          <bgColor theme="0" tint="-0.14999847407452621"/>
        </patternFill>
      </fill>
    </dxf>
  </rfmt>
  <rfmt sheetId="1" sqref="M504" start="0" length="0">
    <dxf>
      <fill>
        <patternFill>
          <bgColor theme="0" tint="-0.14999847407452621"/>
        </patternFill>
      </fill>
    </dxf>
  </rfmt>
  <rfmt sheetId="1" sqref="N504" start="0" length="0">
    <dxf>
      <fill>
        <patternFill>
          <bgColor theme="0" tint="-0.14999847407452621"/>
        </patternFill>
      </fill>
    </dxf>
  </rfmt>
  <rfmt sheetId="1" sqref="O504" start="0" length="0">
    <dxf>
      <fill>
        <patternFill>
          <bgColor theme="0" tint="-0.14999847407452621"/>
        </patternFill>
      </fill>
    </dxf>
  </rfmt>
  <rfmt sheetId="1" sqref="P504" start="0" length="0">
    <dxf>
      <fill>
        <patternFill>
          <bgColor theme="0" tint="-0.14999847407452621"/>
        </patternFill>
      </fill>
    </dxf>
  </rfmt>
  <rfmt sheetId="1" sqref="Q504" start="0" length="0">
    <dxf>
      <fill>
        <patternFill>
          <bgColor theme="0" tint="-0.14999847407452621"/>
        </patternFill>
      </fill>
    </dxf>
  </rfmt>
  <rfmt sheetId="1" sqref="R504" start="0" length="0">
    <dxf>
      <fill>
        <patternFill>
          <bgColor theme="0" tint="-0.14999847407452621"/>
        </patternFill>
      </fill>
    </dxf>
  </rfmt>
  <rcc rId="5637" sId="1" odxf="1" dxf="1">
    <oc r="S504">
      <f>SUMIFS(S$8:S$498,$F$8:$F$498,$F504)</f>
    </oc>
    <nc r="S504">
      <f>SUMIFS(S$8:S$498,$F$8:$F$498,$F504)</f>
    </nc>
    <odxf>
      <fill>
        <patternFill>
          <bgColor rgb="FFFFC000"/>
        </patternFill>
      </fill>
    </odxf>
    <ndxf>
      <fill>
        <patternFill>
          <bgColor theme="0" tint="-0.14999847407452621"/>
        </patternFill>
      </fill>
    </ndxf>
  </rcc>
  <rcc rId="5638" sId="1" odxf="1" dxf="1">
    <oc r="T504">
      <f>SUMIFS(T$8:T$498,$F$8:$F$498,$F504)</f>
    </oc>
    <nc r="T504">
      <f>SUMIFS(T$8:T$498,$F$8:$F$498,$F504)</f>
    </nc>
    <odxf>
      <fill>
        <patternFill>
          <bgColor rgb="FFFFC000"/>
        </patternFill>
      </fill>
    </odxf>
    <ndxf>
      <fill>
        <patternFill>
          <bgColor rgb="FFFFFF00"/>
        </patternFill>
      </fill>
    </ndxf>
  </rcc>
  <rcc rId="5639" sId="1" odxf="1" dxf="1">
    <oc r="U504">
      <f>SUMIFS(U$8:U$498,$F$8:$F$498,$F504)</f>
    </oc>
    <nc r="U504">
      <f>SUMIFS(U$8:U$498,$F$8:$F$498,$F504)</f>
    </nc>
    <odxf>
      <fill>
        <patternFill>
          <bgColor rgb="FFFFC000"/>
        </patternFill>
      </fill>
    </odxf>
    <ndxf>
      <fill>
        <patternFill>
          <bgColor rgb="FFFFFF00"/>
        </patternFill>
      </fill>
    </ndxf>
  </rcc>
  <rcc rId="5640" sId="1" odxf="1" dxf="1">
    <oc r="V504">
      <f>SUMIFS(V$8:V$498,$F$8:$F$498,$F504)</f>
    </oc>
    <nc r="V504">
      <f>SUMIFS(V$8:V$498,$F$8:$F$498,$F504)</f>
    </nc>
    <odxf>
      <fill>
        <patternFill>
          <bgColor rgb="FFFFC000"/>
        </patternFill>
      </fill>
    </odxf>
    <ndxf>
      <fill>
        <patternFill>
          <bgColor theme="0" tint="-0.14999847407452621"/>
        </patternFill>
      </fill>
    </ndxf>
  </rcc>
  <rcc rId="5641" sId="1" odxf="1" dxf="1">
    <oc r="W504">
      <f>SUMIFS(W$8:W$498,$F$8:$F$498,$F504)</f>
    </oc>
    <nc r="W504">
      <f>SUMIFS(W$8:W$498,$F$8:$F$498,$F504)</f>
    </nc>
    <odxf>
      <fill>
        <patternFill>
          <bgColor rgb="FFFFC000"/>
        </patternFill>
      </fill>
    </odxf>
    <ndxf>
      <fill>
        <patternFill>
          <bgColor rgb="FFFFFF00"/>
        </patternFill>
      </fill>
    </ndxf>
  </rcc>
  <rcc rId="5642" sId="1" odxf="1" dxf="1">
    <oc r="X504">
      <f>SUMIFS(X$8:X$498,$F$8:$F$498,$F504)</f>
    </oc>
    <nc r="X504">
      <f>SUMIFS(X$8:X$498,$F$8:$F$498,$F504)</f>
    </nc>
    <odxf>
      <fill>
        <patternFill>
          <bgColor rgb="FFFFC000"/>
        </patternFill>
      </fill>
    </odxf>
    <ndxf>
      <fill>
        <patternFill>
          <bgColor rgb="FFFFFF00"/>
        </patternFill>
      </fill>
    </ndxf>
  </rcc>
  <rcc rId="5643" sId="1" odxf="1" dxf="1">
    <oc r="Y504">
      <f>SUMIFS(Y$8:Y$498,$F$8:$F$498,$F504)</f>
    </oc>
    <nc r="Y504">
      <f>SUMIFS(Y$8:Y$498,$F$8:$F$498,$F504)</f>
    </nc>
    <odxf>
      <fill>
        <patternFill>
          <bgColor rgb="FFFFC000"/>
        </patternFill>
      </fill>
    </odxf>
    <ndxf>
      <fill>
        <patternFill>
          <bgColor theme="0" tint="-0.14999847407452621"/>
        </patternFill>
      </fill>
    </ndxf>
  </rcc>
  <rcc rId="5644" sId="1" odxf="1" dxf="1">
    <oc r="Z504">
      <f>SUMIFS(Z$8:Z$498,$F$8:$F$498,$F504)</f>
    </oc>
    <nc r="Z504">
      <f>SUMIFS(Z$8:Z$498,$F$8:$F$498,$F504)</f>
    </nc>
    <odxf>
      <fill>
        <patternFill>
          <bgColor rgb="FFFFC000"/>
        </patternFill>
      </fill>
    </odxf>
    <ndxf>
      <fill>
        <patternFill>
          <bgColor rgb="FFFFFF00"/>
        </patternFill>
      </fill>
    </ndxf>
  </rcc>
  <rcc rId="5645" sId="1" odxf="1" dxf="1">
    <oc r="AA504">
      <f>SUMIFS(AA$8:AA$498,$F$8:$F$498,$F504)</f>
    </oc>
    <nc r="AA504">
      <f>SUMIFS(AA$8:AA$498,$F$8:$F$498,$F504)</f>
    </nc>
    <odxf>
      <fill>
        <patternFill>
          <bgColor rgb="FFFFC000"/>
        </patternFill>
      </fill>
    </odxf>
    <ndxf>
      <fill>
        <patternFill>
          <bgColor rgb="FFFFFF00"/>
        </patternFill>
      </fill>
    </ndxf>
  </rcc>
  <rcc rId="5646" sId="1" odxf="1" dxf="1">
    <oc r="AB504">
      <f>SUMIFS(AB$8:AB$498,$F$8:$F$498,$F504)</f>
    </oc>
    <nc r="AB504">
      <f>SUMIFS(AB$8:AB$498,$F$8:$F$498,$F504)</f>
    </nc>
    <odxf>
      <fill>
        <patternFill>
          <bgColor rgb="FFFFC000"/>
        </patternFill>
      </fill>
    </odxf>
    <ndxf>
      <fill>
        <patternFill>
          <bgColor theme="0" tint="-0.14999847407452621"/>
        </patternFill>
      </fill>
    </ndxf>
  </rcc>
  <rcc rId="5647" sId="1" odxf="1" dxf="1">
    <oc r="AC504">
      <f>SUMIFS(AC$8:AC$498,$F$8:$F$498,$F504)</f>
    </oc>
    <nc r="AC504">
      <f>SUMIFS(AC$8:AC$498,$F$8:$F$498,$F504)</f>
    </nc>
    <odxf>
      <fill>
        <patternFill>
          <bgColor rgb="FFFFC000"/>
        </patternFill>
      </fill>
    </odxf>
    <ndxf>
      <fill>
        <patternFill>
          <bgColor rgb="FFFFFF00"/>
        </patternFill>
      </fill>
    </ndxf>
  </rcc>
  <rcc rId="5648" sId="1" odxf="1" dxf="1">
    <oc r="AD504">
      <f>SUMIFS(AD$8:AD$498,$F$8:$F$498,$F504)</f>
    </oc>
    <nc r="AD504">
      <f>SUMIFS(AD$8:AD$498,$F$8:$F$498,$F504)</f>
    </nc>
    <odxf>
      <fill>
        <patternFill>
          <bgColor rgb="FFFFC000"/>
        </patternFill>
      </fill>
    </odxf>
    <ndxf>
      <fill>
        <patternFill>
          <bgColor rgb="FFFFFF00"/>
        </patternFill>
      </fill>
    </ndxf>
  </rcc>
  <rcc rId="5649" sId="1" odxf="1" dxf="1">
    <oc r="AE504">
      <f>SUMIFS(AE$8:AE$498,$F$8:$F$498,$F504)</f>
    </oc>
    <nc r="AE504">
      <f>SUMIFS(AE$8:AE$498,$F$8:$F$498,$F504)</f>
    </nc>
    <odxf>
      <fill>
        <patternFill>
          <bgColor rgb="FFFFC000"/>
        </patternFill>
      </fill>
    </odxf>
    <ndxf>
      <fill>
        <patternFill>
          <bgColor theme="0"/>
        </patternFill>
      </fill>
    </ndxf>
  </rcc>
  <rcc rId="5650" sId="1" odxf="1" dxf="1">
    <oc r="AF504">
      <f>SUMIFS(AF$8:AF$498,$F$8:$F$498,$F504)</f>
    </oc>
    <nc r="AF504">
      <f>SUMIFS(AF$8:AF$498,$F$8:$F$498,$F504)</f>
    </nc>
    <odxf>
      <fill>
        <patternFill>
          <bgColor rgb="FFFFC000"/>
        </patternFill>
      </fill>
    </odxf>
    <ndxf>
      <fill>
        <patternFill>
          <bgColor theme="0" tint="-0.14999847407452621"/>
        </patternFill>
      </fill>
    </ndxf>
  </rcc>
  <rcc rId="5651" sId="1" odxf="1" dxf="1">
    <oc r="AG504">
      <f>SUMIFS(AG$8:AG$498,$F$8:$F$498,$F504)</f>
    </oc>
    <nc r="AG504">
      <f>SUMIFS(AG$8:AG$498,$F$8:$F$498,$F504)</f>
    </nc>
    <odxf>
      <fill>
        <patternFill>
          <bgColor rgb="FFFFC000"/>
        </patternFill>
      </fill>
    </odxf>
    <ndxf>
      <fill>
        <patternFill>
          <bgColor theme="0" tint="-0.14999847407452621"/>
        </patternFill>
      </fill>
    </ndxf>
  </rcc>
  <rfmt sheetId="1" sqref="AH504" start="0" length="0">
    <dxf>
      <fill>
        <patternFill>
          <bgColor theme="0" tint="-0.14999847407452621"/>
        </patternFill>
      </fill>
    </dxf>
  </rfmt>
  <rfmt sheetId="1" sqref="AI504" start="0" length="0">
    <dxf>
      <fill>
        <patternFill>
          <bgColor theme="0" tint="-0.14999847407452621"/>
        </patternFill>
      </fill>
    </dxf>
  </rfmt>
  <rcc rId="5652" sId="1" odxf="1" dxf="1">
    <oc r="AJ504">
      <f>SUMIFS(AJ$8:AJ$498,$F$8:$F$498,$F504)</f>
    </oc>
    <nc r="AJ504">
      <f>SUMIFS(AJ$8:AJ$498,$F$8:$F$498,$F504)</f>
    </nc>
    <odxf>
      <fill>
        <patternFill>
          <bgColor rgb="FFFFC000"/>
        </patternFill>
      </fill>
    </odxf>
    <ndxf>
      <fill>
        <patternFill>
          <bgColor theme="0" tint="-0.14999847407452621"/>
        </patternFill>
      </fill>
    </ndxf>
  </rcc>
  <rcc rId="5653" sId="1" odxf="1" dxf="1">
    <oc r="AK504">
      <f>SUMIFS(AK$8:AK$498,$F$8:$F$498,$F504)</f>
    </oc>
    <nc r="AK504">
      <f>SUMIFS(AK$8:AK$498,$F$8:$F$498,$F504)</f>
    </nc>
    <odxf>
      <fill>
        <patternFill>
          <bgColor rgb="FFFFC000"/>
        </patternFill>
      </fill>
    </odxf>
    <ndxf>
      <fill>
        <patternFill>
          <bgColor theme="0" tint="-0.14999847407452621"/>
        </patternFill>
      </fill>
    </ndxf>
  </rcc>
  <rfmt sheetId="1" sqref="AL504" start="0" length="0">
    <dxf>
      <fill>
        <patternFill patternType="none">
          <bgColor indexed="65"/>
        </patternFill>
      </fill>
    </dxf>
  </rfmt>
  <rfmt sheetId="1" sqref="AM504" start="0" length="0">
    <dxf>
      <fill>
        <patternFill patternType="none">
          <bgColor indexed="65"/>
        </patternFill>
      </fill>
    </dxf>
  </rfmt>
  <rfmt sheetId="1" sqref="AN504" start="0" length="0">
    <dxf>
      <fill>
        <patternFill patternType="none">
          <bgColor indexed="65"/>
        </patternFill>
      </fill>
    </dxf>
  </rfmt>
  <rfmt sheetId="1" sqref="AO504" start="0" length="0">
    <dxf>
      <fill>
        <patternFill patternType="none">
          <bgColor indexed="65"/>
        </patternFill>
      </fill>
    </dxf>
  </rfmt>
  <rfmt sheetId="1" sqref="AP504" start="0" length="0">
    <dxf>
      <fill>
        <patternFill patternType="none">
          <bgColor indexed="65"/>
        </patternFill>
      </fill>
    </dxf>
  </rfmt>
  <rfmt sheetId="1" sqref="AQ504" start="0" length="0">
    <dxf>
      <fill>
        <patternFill patternType="none">
          <bgColor indexed="65"/>
        </patternFill>
      </fill>
    </dxf>
  </rfmt>
  <rfmt sheetId="1" sqref="AR504" start="0" length="0">
    <dxf>
      <fill>
        <patternFill patternType="none">
          <bgColor indexed="65"/>
        </patternFill>
      </fill>
    </dxf>
  </rfmt>
  <rfmt sheetId="1" sqref="AS504" start="0" length="0">
    <dxf>
      <fill>
        <patternFill patternType="none">
          <bgColor indexed="65"/>
        </patternFill>
      </fill>
    </dxf>
  </rfmt>
  <rfmt sheetId="1" sqref="AT504" start="0" length="0">
    <dxf>
      <fill>
        <patternFill patternType="none">
          <bgColor indexed="65"/>
        </patternFill>
      </fill>
    </dxf>
  </rfmt>
  <rfmt sheetId="1" sqref="AU504" start="0" length="0">
    <dxf>
      <fill>
        <patternFill patternType="none">
          <bgColor indexed="65"/>
        </patternFill>
      </fill>
    </dxf>
  </rfmt>
  <rfmt sheetId="1" sqref="AV504" start="0" length="0">
    <dxf>
      <fill>
        <patternFill patternType="none">
          <bgColor indexed="65"/>
        </patternFill>
      </fill>
    </dxf>
  </rfmt>
  <rfmt sheetId="1" sqref="AW504" start="0" length="0">
    <dxf>
      <fill>
        <patternFill patternType="none">
          <bgColor indexed="65"/>
        </patternFill>
      </fill>
    </dxf>
  </rfmt>
  <rfmt sheetId="1" sqref="AX504" start="0" length="0">
    <dxf>
      <fill>
        <patternFill patternType="none">
          <bgColor indexed="65"/>
        </patternFill>
      </fill>
    </dxf>
  </rfmt>
  <rfmt sheetId="1" sqref="AY504" start="0" length="0">
    <dxf>
      <fill>
        <patternFill patternType="none">
          <bgColor indexed="65"/>
        </patternFill>
      </fill>
    </dxf>
  </rfmt>
  <rfmt sheetId="1" sqref="AZ504" start="0" length="0">
    <dxf>
      <fill>
        <patternFill patternType="none">
          <bgColor indexed="65"/>
        </patternFill>
      </fill>
    </dxf>
  </rfmt>
  <rfmt sheetId="1" sqref="BA504" start="0" length="0">
    <dxf>
      <fill>
        <patternFill patternType="none">
          <bgColor indexed="65"/>
        </patternFill>
      </fill>
    </dxf>
  </rfmt>
  <rfmt sheetId="1" sqref="BB504" start="0" length="0">
    <dxf>
      <fill>
        <patternFill patternType="none">
          <bgColor indexed="65"/>
        </patternFill>
      </fill>
    </dxf>
  </rfmt>
  <rfmt sheetId="1" sqref="BC504" start="0" length="0">
    <dxf>
      <fill>
        <patternFill patternType="none">
          <bgColor indexed="65"/>
        </patternFill>
      </fill>
    </dxf>
  </rfmt>
  <rfmt sheetId="1" sqref="BD504" start="0" length="0">
    <dxf>
      <fill>
        <patternFill patternType="none">
          <bgColor indexed="65"/>
        </patternFill>
      </fill>
    </dxf>
  </rfmt>
  <rfmt sheetId="1" sqref="BE504" start="0" length="0">
    <dxf>
      <fill>
        <patternFill patternType="none">
          <bgColor indexed="65"/>
        </patternFill>
      </fill>
    </dxf>
  </rfmt>
  <rfmt sheetId="1" sqref="BF504" start="0" length="0">
    <dxf>
      <fill>
        <patternFill patternType="none">
          <bgColor indexed="65"/>
        </patternFill>
      </fill>
    </dxf>
  </rfmt>
  <rfmt sheetId="1" sqref="BG504" start="0" length="0">
    <dxf>
      <fill>
        <patternFill patternType="none">
          <bgColor indexed="65"/>
        </patternFill>
      </fill>
    </dxf>
  </rfmt>
  <rfmt sheetId="1" sqref="BH504" start="0" length="0">
    <dxf>
      <fill>
        <patternFill patternType="none">
          <bgColor indexed="65"/>
        </patternFill>
      </fill>
    </dxf>
  </rfmt>
  <rfmt sheetId="1" sqref="BI504" start="0" length="0">
    <dxf>
      <fill>
        <patternFill patternType="none">
          <bgColor indexed="65"/>
        </patternFill>
      </fill>
    </dxf>
  </rfmt>
  <rfmt sheetId="1" sqref="BJ504" start="0" length="0">
    <dxf>
      <fill>
        <patternFill patternType="none">
          <bgColor indexed="65"/>
        </patternFill>
      </fill>
    </dxf>
  </rfmt>
  <rfmt sheetId="1" sqref="BK504" start="0" length="0">
    <dxf>
      <fill>
        <patternFill patternType="none">
          <bgColor indexed="65"/>
        </patternFill>
      </fill>
    </dxf>
  </rfmt>
  <rfmt sheetId="1" sqref="BL504" start="0" length="0">
    <dxf>
      <fill>
        <patternFill patternType="none">
          <bgColor indexed="65"/>
        </patternFill>
      </fill>
    </dxf>
  </rfmt>
  <rfmt sheetId="1" sqref="BM504" start="0" length="0">
    <dxf>
      <fill>
        <patternFill patternType="none">
          <bgColor indexed="65"/>
        </patternFill>
      </fill>
    </dxf>
  </rfmt>
  <rfmt sheetId="1" sqref="BN504" start="0" length="0">
    <dxf>
      <fill>
        <patternFill patternType="none">
          <bgColor indexed="65"/>
        </patternFill>
      </fill>
    </dxf>
  </rfmt>
  <rfmt sheetId="1" sqref="BO504" start="0" length="0">
    <dxf>
      <fill>
        <patternFill patternType="none">
          <bgColor indexed="65"/>
        </patternFill>
      </fill>
    </dxf>
  </rfmt>
  <rfmt sheetId="1" sqref="BP504" start="0" length="0">
    <dxf>
      <fill>
        <patternFill patternType="none">
          <bgColor indexed="65"/>
        </patternFill>
      </fill>
    </dxf>
  </rfmt>
  <rfmt sheetId="1" sqref="BQ504" start="0" length="0">
    <dxf>
      <fill>
        <patternFill patternType="none">
          <bgColor indexed="65"/>
        </patternFill>
      </fill>
    </dxf>
  </rfmt>
  <rfmt sheetId="1" sqref="BR504" start="0" length="0">
    <dxf>
      <fill>
        <patternFill patternType="none">
          <bgColor indexed="65"/>
        </patternFill>
      </fill>
    </dxf>
  </rfmt>
  <rfmt sheetId="1" sqref="BS504" start="0" length="0">
    <dxf>
      <fill>
        <patternFill patternType="none">
          <bgColor indexed="65"/>
        </patternFill>
      </fill>
    </dxf>
  </rfmt>
  <rfmt sheetId="1" sqref="BT504" start="0" length="0">
    <dxf>
      <fill>
        <patternFill patternType="none">
          <bgColor indexed="65"/>
        </patternFill>
      </fill>
    </dxf>
  </rfmt>
  <rfmt sheetId="1" sqref="BU504" start="0" length="0">
    <dxf>
      <fill>
        <patternFill patternType="none">
          <bgColor indexed="65"/>
        </patternFill>
      </fill>
    </dxf>
  </rfmt>
  <rfmt sheetId="1" sqref="BV504" start="0" length="0">
    <dxf>
      <fill>
        <patternFill patternType="none">
          <bgColor indexed="65"/>
        </patternFill>
      </fill>
    </dxf>
  </rfmt>
  <rfmt sheetId="1" sqref="BW504" start="0" length="0">
    <dxf>
      <fill>
        <patternFill patternType="none">
          <bgColor indexed="65"/>
        </patternFill>
      </fill>
    </dxf>
  </rfmt>
  <rfmt sheetId="1" sqref="BX504" start="0" length="0">
    <dxf>
      <fill>
        <patternFill patternType="none">
          <bgColor indexed="65"/>
        </patternFill>
      </fill>
    </dxf>
  </rfmt>
  <rfmt sheetId="1" sqref="BY504" start="0" length="0">
    <dxf>
      <fill>
        <patternFill patternType="none">
          <bgColor indexed="65"/>
        </patternFill>
      </fill>
    </dxf>
  </rfmt>
  <rfmt sheetId="1" sqref="BZ504" start="0" length="0">
    <dxf>
      <fill>
        <patternFill patternType="none">
          <bgColor indexed="65"/>
        </patternFill>
      </fill>
    </dxf>
  </rfmt>
  <rfmt sheetId="1" sqref="CA504" start="0" length="0">
    <dxf>
      <fill>
        <patternFill patternType="none">
          <bgColor indexed="65"/>
        </patternFill>
      </fill>
    </dxf>
  </rfmt>
  <rfmt sheetId="1" sqref="CB504" start="0" length="0">
    <dxf>
      <fill>
        <patternFill patternType="none">
          <bgColor indexed="65"/>
        </patternFill>
      </fill>
    </dxf>
  </rfmt>
  <rfmt sheetId="1" sqref="CC504" start="0" length="0">
    <dxf>
      <fill>
        <patternFill patternType="none">
          <bgColor indexed="65"/>
        </patternFill>
      </fill>
    </dxf>
  </rfmt>
  <rfmt sheetId="1" sqref="CD504" start="0" length="0">
    <dxf>
      <fill>
        <patternFill patternType="none">
          <bgColor indexed="65"/>
        </patternFill>
      </fill>
    </dxf>
  </rfmt>
  <rfmt sheetId="1" sqref="CE504" start="0" length="0">
    <dxf>
      <fill>
        <patternFill patternType="none">
          <bgColor indexed="65"/>
        </patternFill>
      </fill>
    </dxf>
  </rfmt>
  <rfmt sheetId="1" sqref="CF504" start="0" length="0">
    <dxf>
      <fill>
        <patternFill patternType="none">
          <bgColor indexed="65"/>
        </patternFill>
      </fill>
    </dxf>
  </rfmt>
  <rfmt sheetId="1" sqref="CG504" start="0" length="0">
    <dxf>
      <fill>
        <patternFill patternType="none">
          <bgColor indexed="65"/>
        </patternFill>
      </fill>
    </dxf>
  </rfmt>
  <rfmt sheetId="1" sqref="CH504" start="0" length="0">
    <dxf>
      <fill>
        <patternFill patternType="none">
          <bgColor indexed="65"/>
        </patternFill>
      </fill>
    </dxf>
  </rfmt>
  <rfmt sheetId="1" sqref="CI504" start="0" length="0">
    <dxf>
      <fill>
        <patternFill patternType="none">
          <bgColor indexed="65"/>
        </patternFill>
      </fill>
    </dxf>
  </rfmt>
  <rfmt sheetId="1" sqref="CJ504" start="0" length="0">
    <dxf>
      <fill>
        <patternFill patternType="none">
          <bgColor indexed="65"/>
        </patternFill>
      </fill>
    </dxf>
  </rfmt>
  <rfmt sheetId="1" sqref="CK504" start="0" length="0">
    <dxf>
      <fill>
        <patternFill patternType="none">
          <bgColor indexed="65"/>
        </patternFill>
      </fill>
    </dxf>
  </rfmt>
  <rfmt sheetId="1" sqref="CL504" start="0" length="0">
    <dxf>
      <fill>
        <patternFill patternType="none">
          <bgColor indexed="65"/>
        </patternFill>
      </fill>
    </dxf>
  </rfmt>
  <rfmt sheetId="1" sqref="CM504" start="0" length="0">
    <dxf>
      <fill>
        <patternFill patternType="none">
          <bgColor indexed="65"/>
        </patternFill>
      </fill>
    </dxf>
  </rfmt>
  <rfmt sheetId="1" sqref="CN504" start="0" length="0">
    <dxf>
      <fill>
        <patternFill patternType="none">
          <bgColor indexed="65"/>
        </patternFill>
      </fill>
    </dxf>
  </rfmt>
  <rfmt sheetId="1" sqref="CO504" start="0" length="0">
    <dxf>
      <fill>
        <patternFill patternType="none">
          <bgColor indexed="65"/>
        </patternFill>
      </fill>
    </dxf>
  </rfmt>
  <rfmt sheetId="1" sqref="CP504" start="0" length="0">
    <dxf>
      <fill>
        <patternFill patternType="none">
          <bgColor indexed="65"/>
        </patternFill>
      </fill>
    </dxf>
  </rfmt>
  <rfmt sheetId="1" sqref="CQ504" start="0" length="0">
    <dxf>
      <fill>
        <patternFill patternType="none">
          <bgColor indexed="65"/>
        </patternFill>
      </fill>
    </dxf>
  </rfmt>
  <rfmt sheetId="1" sqref="CR504" start="0" length="0">
    <dxf>
      <fill>
        <patternFill patternType="none">
          <bgColor indexed="65"/>
        </patternFill>
      </fill>
    </dxf>
  </rfmt>
  <rfmt sheetId="1" sqref="CS504" start="0" length="0">
    <dxf>
      <fill>
        <patternFill patternType="none">
          <bgColor indexed="65"/>
        </patternFill>
      </fill>
    </dxf>
  </rfmt>
  <rfmt sheetId="1" sqref="CT504" start="0" length="0">
    <dxf>
      <fill>
        <patternFill patternType="none">
          <bgColor indexed="65"/>
        </patternFill>
      </fill>
    </dxf>
  </rfmt>
  <rfmt sheetId="1" sqref="CU504" start="0" length="0">
    <dxf>
      <fill>
        <patternFill patternType="none">
          <bgColor indexed="65"/>
        </patternFill>
      </fill>
    </dxf>
  </rfmt>
  <rfmt sheetId="1" sqref="CV504" start="0" length="0">
    <dxf>
      <fill>
        <patternFill patternType="none">
          <bgColor indexed="65"/>
        </patternFill>
      </fill>
    </dxf>
  </rfmt>
  <rfmt sheetId="1" sqref="CW504" start="0" length="0">
    <dxf>
      <fill>
        <patternFill patternType="none">
          <bgColor indexed="65"/>
        </patternFill>
      </fill>
    </dxf>
  </rfmt>
  <rfmt sheetId="1" sqref="CX504" start="0" length="0">
    <dxf>
      <fill>
        <patternFill patternType="none">
          <bgColor indexed="65"/>
        </patternFill>
      </fill>
    </dxf>
  </rfmt>
  <rfmt sheetId="1" sqref="CY504" start="0" length="0">
    <dxf>
      <fill>
        <patternFill patternType="none">
          <bgColor indexed="65"/>
        </patternFill>
      </fill>
    </dxf>
  </rfmt>
  <rfmt sheetId="1" sqref="CZ504" start="0" length="0">
    <dxf>
      <fill>
        <patternFill patternType="none">
          <bgColor indexed="65"/>
        </patternFill>
      </fill>
    </dxf>
  </rfmt>
  <rfmt sheetId="1" sqref="DA504" start="0" length="0">
    <dxf>
      <fill>
        <patternFill patternType="none">
          <bgColor indexed="65"/>
        </patternFill>
      </fill>
    </dxf>
  </rfmt>
  <rfmt sheetId="1" sqref="DB504" start="0" length="0">
    <dxf>
      <fill>
        <patternFill patternType="none">
          <bgColor indexed="65"/>
        </patternFill>
      </fill>
    </dxf>
  </rfmt>
  <rfmt sheetId="1" sqref="DC504" start="0" length="0">
    <dxf>
      <fill>
        <patternFill patternType="none">
          <bgColor indexed="65"/>
        </patternFill>
      </fill>
    </dxf>
  </rfmt>
  <rfmt sheetId="1" sqref="DD504" start="0" length="0">
    <dxf>
      <fill>
        <patternFill patternType="none">
          <bgColor indexed="65"/>
        </patternFill>
      </fill>
    </dxf>
  </rfmt>
  <rfmt sheetId="1" sqref="DE504" start="0" length="0">
    <dxf>
      <fill>
        <patternFill patternType="none">
          <bgColor indexed="65"/>
        </patternFill>
      </fill>
    </dxf>
  </rfmt>
  <rfmt sheetId="1" sqref="DF504" start="0" length="0">
    <dxf>
      <fill>
        <patternFill patternType="none">
          <bgColor indexed="65"/>
        </patternFill>
      </fill>
    </dxf>
  </rfmt>
  <rfmt sheetId="1" sqref="DG504" start="0" length="0">
    <dxf>
      <fill>
        <patternFill patternType="none">
          <bgColor indexed="65"/>
        </patternFill>
      </fill>
    </dxf>
  </rfmt>
  <rfmt sheetId="1" sqref="A504:XFD504" start="0" length="0">
    <dxf>
      <fill>
        <patternFill patternType="none">
          <bgColor indexed="65"/>
        </patternFill>
      </fill>
    </dxf>
  </rfmt>
  <rfmt sheetId="1" sqref="A505" start="0" length="0">
    <dxf>
      <fill>
        <patternFill>
          <bgColor theme="0" tint="-0.14999847407452621"/>
        </patternFill>
      </fill>
    </dxf>
  </rfmt>
  <rfmt sheetId="1" sqref="B505" start="0" length="0">
    <dxf>
      <fill>
        <patternFill>
          <bgColor rgb="FFFFFF00"/>
        </patternFill>
      </fill>
    </dxf>
  </rfmt>
  <rfmt sheetId="1" sqref="C505" start="0" length="0">
    <dxf>
      <fill>
        <patternFill>
          <bgColor rgb="FFFFFF00"/>
        </patternFill>
      </fill>
    </dxf>
  </rfmt>
  <rcc rId="5654" sId="1" odxf="1" dxf="1">
    <oc r="D505">
      <f>COUNTIFS(F$8:F$498,$F505)</f>
    </oc>
    <nc r="D505">
      <f>COUNTIFS(F$8:F$498,$F505)</f>
    </nc>
    <odxf>
      <fill>
        <patternFill>
          <bgColor rgb="FFFFC000"/>
        </patternFill>
      </fill>
    </odxf>
    <ndxf>
      <fill>
        <patternFill>
          <bgColor rgb="FFFFFF00"/>
        </patternFill>
      </fill>
    </ndxf>
  </rcc>
  <rfmt sheetId="1" sqref="E505" start="0" length="0">
    <dxf>
      <fill>
        <patternFill>
          <bgColor theme="0" tint="-0.14999847407452621"/>
        </patternFill>
      </fill>
    </dxf>
  </rfmt>
  <rfmt sheetId="1" sqref="F505" start="0" length="0">
    <dxf>
      <font>
        <sz val="12"/>
        <color auto="1"/>
      </font>
      <fill>
        <patternFill>
          <bgColor rgb="FFFFFF00"/>
        </patternFill>
      </fill>
      <alignment wrapText="0"/>
    </dxf>
  </rfmt>
  <rfmt sheetId="1" sqref="G505" start="0" length="0">
    <dxf>
      <fill>
        <patternFill>
          <bgColor theme="0" tint="-0.14999847407452621"/>
        </patternFill>
      </fill>
    </dxf>
  </rfmt>
  <rfmt sheetId="1" sqref="H505" start="0" length="0">
    <dxf>
      <fill>
        <patternFill>
          <bgColor theme="0" tint="-0.14999847407452621"/>
        </patternFill>
      </fill>
    </dxf>
  </rfmt>
  <rfmt sheetId="1" sqref="I505" start="0" length="0">
    <dxf>
      <fill>
        <patternFill>
          <bgColor rgb="FFFFFF00"/>
        </patternFill>
      </fill>
    </dxf>
  </rfmt>
  <rfmt sheetId="1" sqref="J505" start="0" length="0">
    <dxf>
      <fill>
        <patternFill>
          <bgColor theme="0" tint="-0.14999847407452621"/>
        </patternFill>
      </fill>
    </dxf>
  </rfmt>
  <rfmt sheetId="1" sqref="K505" start="0" length="0">
    <dxf>
      <fill>
        <patternFill>
          <bgColor theme="0"/>
        </patternFill>
      </fill>
    </dxf>
  </rfmt>
  <rfmt sheetId="1" sqref="L505" start="0" length="0">
    <dxf>
      <fill>
        <patternFill>
          <bgColor theme="0" tint="-0.14999847407452621"/>
        </patternFill>
      </fill>
    </dxf>
  </rfmt>
  <rfmt sheetId="1" sqref="M505" start="0" length="0">
    <dxf>
      <fill>
        <patternFill>
          <bgColor theme="0" tint="-0.14999847407452621"/>
        </patternFill>
      </fill>
    </dxf>
  </rfmt>
  <rfmt sheetId="1" sqref="N505" start="0" length="0">
    <dxf>
      <fill>
        <patternFill>
          <bgColor theme="0" tint="-0.14999847407452621"/>
        </patternFill>
      </fill>
    </dxf>
  </rfmt>
  <rfmt sheetId="1" sqref="O505" start="0" length="0">
    <dxf>
      <fill>
        <patternFill>
          <bgColor theme="0" tint="-0.14999847407452621"/>
        </patternFill>
      </fill>
    </dxf>
  </rfmt>
  <rfmt sheetId="1" sqref="P505" start="0" length="0">
    <dxf>
      <fill>
        <patternFill>
          <bgColor theme="0" tint="-0.14999847407452621"/>
        </patternFill>
      </fill>
    </dxf>
  </rfmt>
  <rfmt sheetId="1" sqref="Q505" start="0" length="0">
    <dxf>
      <fill>
        <patternFill>
          <bgColor theme="0" tint="-0.14999847407452621"/>
        </patternFill>
      </fill>
    </dxf>
  </rfmt>
  <rfmt sheetId="1" sqref="R505" start="0" length="0">
    <dxf>
      <fill>
        <patternFill>
          <bgColor theme="0" tint="-0.14999847407452621"/>
        </patternFill>
      </fill>
    </dxf>
  </rfmt>
  <rcc rId="5655" sId="1" odxf="1" dxf="1">
    <oc r="S505">
      <f>SUMIFS(S$8:S$498,$F$8:$F$498,$F505)</f>
    </oc>
    <nc r="S505">
      <f>SUMIFS(S$8:S$498,$F$8:$F$498,$F505)</f>
    </nc>
    <odxf>
      <fill>
        <patternFill>
          <bgColor rgb="FFFFC000"/>
        </patternFill>
      </fill>
    </odxf>
    <ndxf>
      <fill>
        <patternFill>
          <bgColor theme="0" tint="-0.14999847407452621"/>
        </patternFill>
      </fill>
    </ndxf>
  </rcc>
  <rcc rId="5656" sId="1" odxf="1" dxf="1">
    <oc r="T505">
      <f>SUMIFS(T$8:T$498,$F$8:$F$498,$F505)</f>
    </oc>
    <nc r="T505">
      <f>SUMIFS(T$8:T$498,$F$8:$F$498,$F505)</f>
    </nc>
    <odxf>
      <fill>
        <patternFill>
          <bgColor rgb="FFFFC000"/>
        </patternFill>
      </fill>
    </odxf>
    <ndxf>
      <fill>
        <patternFill>
          <bgColor rgb="FFFFFF00"/>
        </patternFill>
      </fill>
    </ndxf>
  </rcc>
  <rcc rId="5657" sId="1" odxf="1" dxf="1">
    <oc r="U505">
      <f>SUMIFS(U$8:U$498,$F$8:$F$498,$F505)</f>
    </oc>
    <nc r="U505">
      <f>SUMIFS(U$8:U$498,$F$8:$F$498,$F505)</f>
    </nc>
    <odxf>
      <fill>
        <patternFill>
          <bgColor rgb="FFFFC000"/>
        </patternFill>
      </fill>
    </odxf>
    <ndxf>
      <fill>
        <patternFill>
          <bgColor rgb="FFFFFF00"/>
        </patternFill>
      </fill>
    </ndxf>
  </rcc>
  <rcc rId="5658" sId="1" odxf="1" dxf="1">
    <oc r="V505">
      <f>SUMIFS(V$8:V$498,$F$8:$F$498,$F505)</f>
    </oc>
    <nc r="V505">
      <f>SUMIFS(V$8:V$498,$F$8:$F$498,$F505)</f>
    </nc>
    <odxf>
      <fill>
        <patternFill>
          <bgColor rgb="FFFFC000"/>
        </patternFill>
      </fill>
    </odxf>
    <ndxf>
      <fill>
        <patternFill>
          <bgColor theme="0" tint="-0.14999847407452621"/>
        </patternFill>
      </fill>
    </ndxf>
  </rcc>
  <rcc rId="5659" sId="1" odxf="1" dxf="1">
    <oc r="W505">
      <f>SUMIFS(W$8:W$498,$F$8:$F$498,$F505)</f>
    </oc>
    <nc r="W505">
      <f>SUMIFS(W$8:W$498,$F$8:$F$498,$F505)</f>
    </nc>
    <odxf>
      <fill>
        <patternFill>
          <bgColor rgb="FFFFC000"/>
        </patternFill>
      </fill>
    </odxf>
    <ndxf>
      <fill>
        <patternFill>
          <bgColor rgb="FFFFFF00"/>
        </patternFill>
      </fill>
    </ndxf>
  </rcc>
  <rcc rId="5660" sId="1" odxf="1" dxf="1">
    <oc r="X505">
      <f>SUMIFS(X$8:X$498,$F$8:$F$498,$F505)</f>
    </oc>
    <nc r="X505">
      <f>SUMIFS(X$8:X$498,$F$8:$F$498,$F505)</f>
    </nc>
    <odxf>
      <fill>
        <patternFill>
          <bgColor rgb="FFFFC000"/>
        </patternFill>
      </fill>
    </odxf>
    <ndxf>
      <fill>
        <patternFill>
          <bgColor rgb="FFFFFF00"/>
        </patternFill>
      </fill>
    </ndxf>
  </rcc>
  <rcc rId="5661" sId="1" odxf="1" dxf="1">
    <oc r="Y505">
      <f>SUMIFS(Y$8:Y$498,$F$8:$F$498,$F505)</f>
    </oc>
    <nc r="Y505">
      <f>SUMIFS(Y$8:Y$498,$F$8:$F$498,$F505)</f>
    </nc>
    <odxf>
      <fill>
        <patternFill>
          <bgColor rgb="FFFFC000"/>
        </patternFill>
      </fill>
    </odxf>
    <ndxf>
      <fill>
        <patternFill>
          <bgColor theme="0" tint="-0.14999847407452621"/>
        </patternFill>
      </fill>
    </ndxf>
  </rcc>
  <rcc rId="5662" sId="1" odxf="1" dxf="1">
    <oc r="Z505">
      <f>SUMIFS(Z$8:Z$498,$F$8:$F$498,$F505)</f>
    </oc>
    <nc r="Z505">
      <f>SUMIFS(Z$8:Z$498,$F$8:$F$498,$F505)</f>
    </nc>
    <odxf>
      <fill>
        <patternFill>
          <bgColor rgb="FFFFC000"/>
        </patternFill>
      </fill>
    </odxf>
    <ndxf>
      <fill>
        <patternFill>
          <bgColor rgb="FFFFFF00"/>
        </patternFill>
      </fill>
    </ndxf>
  </rcc>
  <rcc rId="5663" sId="1" odxf="1" dxf="1">
    <oc r="AA505">
      <f>SUMIFS(AA$8:AA$498,$F$8:$F$498,$F505)</f>
    </oc>
    <nc r="AA505">
      <f>SUMIFS(AA$8:AA$498,$F$8:$F$498,$F505)</f>
    </nc>
    <odxf>
      <fill>
        <patternFill>
          <bgColor rgb="FFFFC000"/>
        </patternFill>
      </fill>
    </odxf>
    <ndxf>
      <fill>
        <patternFill>
          <bgColor rgb="FFFFFF00"/>
        </patternFill>
      </fill>
    </ndxf>
  </rcc>
  <rcc rId="5664" sId="1" odxf="1" dxf="1">
    <oc r="AB505">
      <f>SUMIFS(AB$8:AB$498,$F$8:$F$498,$F505)</f>
    </oc>
    <nc r="AB505">
      <f>SUMIFS(AB$8:AB$498,$F$8:$F$498,$F505)</f>
    </nc>
    <odxf>
      <fill>
        <patternFill>
          <bgColor rgb="FFFFC000"/>
        </patternFill>
      </fill>
    </odxf>
    <ndxf>
      <fill>
        <patternFill>
          <bgColor theme="0" tint="-0.14999847407452621"/>
        </patternFill>
      </fill>
    </ndxf>
  </rcc>
  <rcc rId="5665" sId="1" odxf="1" dxf="1">
    <oc r="AC505">
      <f>SUMIFS(AC$8:AC$498,$F$8:$F$498,$F505)</f>
    </oc>
    <nc r="AC505">
      <f>SUMIFS(AC$8:AC$498,$F$8:$F$498,$F505)</f>
    </nc>
    <odxf>
      <fill>
        <patternFill>
          <bgColor rgb="FFFFC000"/>
        </patternFill>
      </fill>
    </odxf>
    <ndxf>
      <fill>
        <patternFill>
          <bgColor rgb="FFFFFF00"/>
        </patternFill>
      </fill>
    </ndxf>
  </rcc>
  <rcc rId="5666" sId="1" odxf="1" dxf="1">
    <oc r="AD505">
      <f>SUMIFS(AD$8:AD$498,$F$8:$F$498,$F505)</f>
    </oc>
    <nc r="AD505">
      <f>SUMIFS(AD$8:AD$498,$F$8:$F$498,$F505)</f>
    </nc>
    <odxf>
      <fill>
        <patternFill>
          <bgColor rgb="FFFFC000"/>
        </patternFill>
      </fill>
    </odxf>
    <ndxf>
      <fill>
        <patternFill>
          <bgColor rgb="FFFFFF00"/>
        </patternFill>
      </fill>
    </ndxf>
  </rcc>
  <rcc rId="5667" sId="1" odxf="1" dxf="1">
    <oc r="AE505">
      <f>SUMIFS(AE$8:AE$498,$F$8:$F$498,$F505)</f>
    </oc>
    <nc r="AE505">
      <f>SUMIFS(AE$8:AE$498,$F$8:$F$498,$F505)</f>
    </nc>
    <odxf>
      <fill>
        <patternFill>
          <bgColor rgb="FFFFC000"/>
        </patternFill>
      </fill>
    </odxf>
    <ndxf>
      <fill>
        <patternFill>
          <bgColor theme="0"/>
        </patternFill>
      </fill>
    </ndxf>
  </rcc>
  <rcc rId="5668" sId="1" odxf="1" dxf="1">
    <oc r="AF505">
      <f>SUMIFS(AF$8:AF$498,$F$8:$F$498,$F505)</f>
    </oc>
    <nc r="AF505">
      <f>SUMIFS(AF$8:AF$498,$F$8:$F$498,$F505)</f>
    </nc>
    <odxf>
      <fill>
        <patternFill>
          <bgColor rgb="FFFFC000"/>
        </patternFill>
      </fill>
    </odxf>
    <ndxf>
      <fill>
        <patternFill>
          <bgColor theme="0" tint="-0.14999847407452621"/>
        </patternFill>
      </fill>
    </ndxf>
  </rcc>
  <rcc rId="5669" sId="1" odxf="1" dxf="1">
    <oc r="AG505">
      <f>SUMIFS(AG$8:AG$498,$F$8:$F$498,$F505)</f>
    </oc>
    <nc r="AG505">
      <f>SUMIFS(AG$8:AG$498,$F$8:$F$498,$F505)</f>
    </nc>
    <odxf>
      <fill>
        <patternFill>
          <bgColor rgb="FFFFC000"/>
        </patternFill>
      </fill>
    </odxf>
    <ndxf>
      <fill>
        <patternFill>
          <bgColor theme="0" tint="-0.14999847407452621"/>
        </patternFill>
      </fill>
    </ndxf>
  </rcc>
  <rfmt sheetId="1" sqref="AH505" start="0" length="0">
    <dxf>
      <fill>
        <patternFill>
          <bgColor theme="0" tint="-0.14999847407452621"/>
        </patternFill>
      </fill>
    </dxf>
  </rfmt>
  <rfmt sheetId="1" sqref="AI505" start="0" length="0">
    <dxf>
      <fill>
        <patternFill>
          <bgColor theme="0" tint="-0.14999847407452621"/>
        </patternFill>
      </fill>
    </dxf>
  </rfmt>
  <rcc rId="5670" sId="1" odxf="1" dxf="1">
    <oc r="AJ505">
      <f>SUMIFS(AJ$8:AJ$498,$F$8:$F$498,$F505)</f>
    </oc>
    <nc r="AJ505">
      <f>SUMIFS(AJ$8:AJ$498,$F$8:$F$498,$F505)</f>
    </nc>
    <odxf>
      <fill>
        <patternFill>
          <bgColor rgb="FFFFC000"/>
        </patternFill>
      </fill>
    </odxf>
    <ndxf>
      <fill>
        <patternFill>
          <bgColor theme="0" tint="-0.14999847407452621"/>
        </patternFill>
      </fill>
    </ndxf>
  </rcc>
  <rcc rId="5671" sId="1" odxf="1" dxf="1">
    <oc r="AK505">
      <f>SUMIFS(AK$8:AK$498,$F$8:$F$498,$F505)</f>
    </oc>
    <nc r="AK505">
      <f>SUMIFS(AK$8:AK$498,$F$8:$F$498,$F505)</f>
    </nc>
    <odxf>
      <fill>
        <patternFill>
          <bgColor rgb="FFFFC000"/>
        </patternFill>
      </fill>
    </odxf>
    <ndxf>
      <fill>
        <patternFill>
          <bgColor theme="0" tint="-0.14999847407452621"/>
        </patternFill>
      </fill>
    </ndxf>
  </rcc>
  <rfmt sheetId="1" sqref="AL505" start="0" length="0">
    <dxf>
      <fill>
        <patternFill patternType="none">
          <bgColor indexed="65"/>
        </patternFill>
      </fill>
    </dxf>
  </rfmt>
  <rfmt sheetId="1" sqref="AM505" start="0" length="0">
    <dxf>
      <fill>
        <patternFill patternType="none">
          <bgColor indexed="65"/>
        </patternFill>
      </fill>
    </dxf>
  </rfmt>
  <rfmt sheetId="1" sqref="AN505" start="0" length="0">
    <dxf>
      <fill>
        <patternFill patternType="none">
          <bgColor indexed="65"/>
        </patternFill>
      </fill>
    </dxf>
  </rfmt>
  <rfmt sheetId="1" sqref="AO505" start="0" length="0">
    <dxf>
      <fill>
        <patternFill patternType="none">
          <bgColor indexed="65"/>
        </patternFill>
      </fill>
    </dxf>
  </rfmt>
  <rfmt sheetId="1" sqref="AP505" start="0" length="0">
    <dxf>
      <fill>
        <patternFill patternType="none">
          <bgColor indexed="65"/>
        </patternFill>
      </fill>
    </dxf>
  </rfmt>
  <rfmt sheetId="1" sqref="AQ505" start="0" length="0">
    <dxf>
      <fill>
        <patternFill patternType="none">
          <bgColor indexed="65"/>
        </patternFill>
      </fill>
    </dxf>
  </rfmt>
  <rfmt sheetId="1" sqref="AR505" start="0" length="0">
    <dxf>
      <fill>
        <patternFill patternType="none">
          <bgColor indexed="65"/>
        </patternFill>
      </fill>
    </dxf>
  </rfmt>
  <rfmt sheetId="1" sqref="AS505" start="0" length="0">
    <dxf>
      <fill>
        <patternFill patternType="none">
          <bgColor indexed="65"/>
        </patternFill>
      </fill>
    </dxf>
  </rfmt>
  <rfmt sheetId="1" sqref="AT505" start="0" length="0">
    <dxf>
      <fill>
        <patternFill patternType="none">
          <bgColor indexed="65"/>
        </patternFill>
      </fill>
    </dxf>
  </rfmt>
  <rfmt sheetId="1" sqref="AU505" start="0" length="0">
    <dxf>
      <fill>
        <patternFill patternType="none">
          <bgColor indexed="65"/>
        </patternFill>
      </fill>
    </dxf>
  </rfmt>
  <rfmt sheetId="1" sqref="AV505" start="0" length="0">
    <dxf>
      <fill>
        <patternFill patternType="none">
          <bgColor indexed="65"/>
        </patternFill>
      </fill>
    </dxf>
  </rfmt>
  <rfmt sheetId="1" sqref="AW505" start="0" length="0">
    <dxf>
      <fill>
        <patternFill patternType="none">
          <bgColor indexed="65"/>
        </patternFill>
      </fill>
    </dxf>
  </rfmt>
  <rfmt sheetId="1" sqref="AX505" start="0" length="0">
    <dxf>
      <fill>
        <patternFill patternType="none">
          <bgColor indexed="65"/>
        </patternFill>
      </fill>
    </dxf>
  </rfmt>
  <rfmt sheetId="1" sqref="AY505" start="0" length="0">
    <dxf>
      <fill>
        <patternFill patternType="none">
          <bgColor indexed="65"/>
        </patternFill>
      </fill>
    </dxf>
  </rfmt>
  <rfmt sheetId="1" sqref="AZ505" start="0" length="0">
    <dxf>
      <fill>
        <patternFill patternType="none">
          <bgColor indexed="65"/>
        </patternFill>
      </fill>
    </dxf>
  </rfmt>
  <rfmt sheetId="1" sqref="BA505" start="0" length="0">
    <dxf>
      <fill>
        <patternFill patternType="none">
          <bgColor indexed="65"/>
        </patternFill>
      </fill>
    </dxf>
  </rfmt>
  <rfmt sheetId="1" sqref="BB505" start="0" length="0">
    <dxf>
      <fill>
        <patternFill patternType="none">
          <bgColor indexed="65"/>
        </patternFill>
      </fill>
    </dxf>
  </rfmt>
  <rfmt sheetId="1" sqref="BC505" start="0" length="0">
    <dxf>
      <fill>
        <patternFill patternType="none">
          <bgColor indexed="65"/>
        </patternFill>
      </fill>
    </dxf>
  </rfmt>
  <rfmt sheetId="1" sqref="BD505" start="0" length="0">
    <dxf>
      <fill>
        <patternFill patternType="none">
          <bgColor indexed="65"/>
        </patternFill>
      </fill>
    </dxf>
  </rfmt>
  <rfmt sheetId="1" sqref="BE505" start="0" length="0">
    <dxf>
      <fill>
        <patternFill patternType="none">
          <bgColor indexed="65"/>
        </patternFill>
      </fill>
    </dxf>
  </rfmt>
  <rfmt sheetId="1" sqref="BF505" start="0" length="0">
    <dxf>
      <fill>
        <patternFill patternType="none">
          <bgColor indexed="65"/>
        </patternFill>
      </fill>
    </dxf>
  </rfmt>
  <rfmt sheetId="1" sqref="BG505" start="0" length="0">
    <dxf>
      <fill>
        <patternFill patternType="none">
          <bgColor indexed="65"/>
        </patternFill>
      </fill>
    </dxf>
  </rfmt>
  <rfmt sheetId="1" sqref="BH505" start="0" length="0">
    <dxf>
      <fill>
        <patternFill patternType="none">
          <bgColor indexed="65"/>
        </patternFill>
      </fill>
    </dxf>
  </rfmt>
  <rfmt sheetId="1" sqref="BI505" start="0" length="0">
    <dxf>
      <fill>
        <patternFill patternType="none">
          <bgColor indexed="65"/>
        </patternFill>
      </fill>
    </dxf>
  </rfmt>
  <rfmt sheetId="1" sqref="BJ505" start="0" length="0">
    <dxf>
      <fill>
        <patternFill patternType="none">
          <bgColor indexed="65"/>
        </patternFill>
      </fill>
    </dxf>
  </rfmt>
  <rfmt sheetId="1" sqref="BK505" start="0" length="0">
    <dxf>
      <fill>
        <patternFill patternType="none">
          <bgColor indexed="65"/>
        </patternFill>
      </fill>
    </dxf>
  </rfmt>
  <rfmt sheetId="1" sqref="BL505" start="0" length="0">
    <dxf>
      <fill>
        <patternFill patternType="none">
          <bgColor indexed="65"/>
        </patternFill>
      </fill>
    </dxf>
  </rfmt>
  <rfmt sheetId="1" sqref="BM505" start="0" length="0">
    <dxf>
      <fill>
        <patternFill patternType="none">
          <bgColor indexed="65"/>
        </patternFill>
      </fill>
    </dxf>
  </rfmt>
  <rfmt sheetId="1" sqref="BN505" start="0" length="0">
    <dxf>
      <fill>
        <patternFill patternType="none">
          <bgColor indexed="65"/>
        </patternFill>
      </fill>
    </dxf>
  </rfmt>
  <rfmt sheetId="1" sqref="BO505" start="0" length="0">
    <dxf>
      <fill>
        <patternFill patternType="none">
          <bgColor indexed="65"/>
        </patternFill>
      </fill>
    </dxf>
  </rfmt>
  <rfmt sheetId="1" sqref="BP505" start="0" length="0">
    <dxf>
      <fill>
        <patternFill patternType="none">
          <bgColor indexed="65"/>
        </patternFill>
      </fill>
    </dxf>
  </rfmt>
  <rfmt sheetId="1" sqref="BQ505" start="0" length="0">
    <dxf>
      <fill>
        <patternFill patternType="none">
          <bgColor indexed="65"/>
        </patternFill>
      </fill>
    </dxf>
  </rfmt>
  <rfmt sheetId="1" sqref="BR505" start="0" length="0">
    <dxf>
      <fill>
        <patternFill patternType="none">
          <bgColor indexed="65"/>
        </patternFill>
      </fill>
    </dxf>
  </rfmt>
  <rfmt sheetId="1" sqref="BS505" start="0" length="0">
    <dxf>
      <fill>
        <patternFill patternType="none">
          <bgColor indexed="65"/>
        </patternFill>
      </fill>
    </dxf>
  </rfmt>
  <rfmt sheetId="1" sqref="BT505" start="0" length="0">
    <dxf>
      <fill>
        <patternFill patternType="none">
          <bgColor indexed="65"/>
        </patternFill>
      </fill>
    </dxf>
  </rfmt>
  <rfmt sheetId="1" sqref="BU505" start="0" length="0">
    <dxf>
      <fill>
        <patternFill patternType="none">
          <bgColor indexed="65"/>
        </patternFill>
      </fill>
    </dxf>
  </rfmt>
  <rfmt sheetId="1" sqref="BV505" start="0" length="0">
    <dxf>
      <fill>
        <patternFill patternType="none">
          <bgColor indexed="65"/>
        </patternFill>
      </fill>
    </dxf>
  </rfmt>
  <rfmt sheetId="1" sqref="BW505" start="0" length="0">
    <dxf>
      <fill>
        <patternFill patternType="none">
          <bgColor indexed="65"/>
        </patternFill>
      </fill>
    </dxf>
  </rfmt>
  <rfmt sheetId="1" sqref="BX505" start="0" length="0">
    <dxf>
      <fill>
        <patternFill patternType="none">
          <bgColor indexed="65"/>
        </patternFill>
      </fill>
    </dxf>
  </rfmt>
  <rfmt sheetId="1" sqref="BY505" start="0" length="0">
    <dxf>
      <fill>
        <patternFill patternType="none">
          <bgColor indexed="65"/>
        </patternFill>
      </fill>
    </dxf>
  </rfmt>
  <rfmt sheetId="1" sqref="BZ505" start="0" length="0">
    <dxf>
      <fill>
        <patternFill patternType="none">
          <bgColor indexed="65"/>
        </patternFill>
      </fill>
    </dxf>
  </rfmt>
  <rfmt sheetId="1" sqref="CA505" start="0" length="0">
    <dxf>
      <fill>
        <patternFill patternType="none">
          <bgColor indexed="65"/>
        </patternFill>
      </fill>
    </dxf>
  </rfmt>
  <rfmt sheetId="1" sqref="CB505" start="0" length="0">
    <dxf>
      <fill>
        <patternFill patternType="none">
          <bgColor indexed="65"/>
        </patternFill>
      </fill>
    </dxf>
  </rfmt>
  <rfmt sheetId="1" sqref="CC505" start="0" length="0">
    <dxf>
      <fill>
        <patternFill patternType="none">
          <bgColor indexed="65"/>
        </patternFill>
      </fill>
    </dxf>
  </rfmt>
  <rfmt sheetId="1" sqref="CD505" start="0" length="0">
    <dxf>
      <fill>
        <patternFill patternType="none">
          <bgColor indexed="65"/>
        </patternFill>
      </fill>
    </dxf>
  </rfmt>
  <rfmt sheetId="1" sqref="CE505" start="0" length="0">
    <dxf>
      <fill>
        <patternFill patternType="none">
          <bgColor indexed="65"/>
        </patternFill>
      </fill>
    </dxf>
  </rfmt>
  <rfmt sheetId="1" sqref="CF505" start="0" length="0">
    <dxf>
      <fill>
        <patternFill patternType="none">
          <bgColor indexed="65"/>
        </patternFill>
      </fill>
    </dxf>
  </rfmt>
  <rfmt sheetId="1" sqref="CG505" start="0" length="0">
    <dxf>
      <fill>
        <patternFill patternType="none">
          <bgColor indexed="65"/>
        </patternFill>
      </fill>
    </dxf>
  </rfmt>
  <rfmt sheetId="1" sqref="CH505" start="0" length="0">
    <dxf>
      <fill>
        <patternFill patternType="none">
          <bgColor indexed="65"/>
        </patternFill>
      </fill>
    </dxf>
  </rfmt>
  <rfmt sheetId="1" sqref="CI505" start="0" length="0">
    <dxf>
      <fill>
        <patternFill patternType="none">
          <bgColor indexed="65"/>
        </patternFill>
      </fill>
    </dxf>
  </rfmt>
  <rfmt sheetId="1" sqref="CJ505" start="0" length="0">
    <dxf>
      <fill>
        <patternFill patternType="none">
          <bgColor indexed="65"/>
        </patternFill>
      </fill>
    </dxf>
  </rfmt>
  <rfmt sheetId="1" sqref="CK505" start="0" length="0">
    <dxf>
      <fill>
        <patternFill patternType="none">
          <bgColor indexed="65"/>
        </patternFill>
      </fill>
    </dxf>
  </rfmt>
  <rfmt sheetId="1" sqref="CL505" start="0" length="0">
    <dxf>
      <fill>
        <patternFill patternType="none">
          <bgColor indexed="65"/>
        </patternFill>
      </fill>
    </dxf>
  </rfmt>
  <rfmt sheetId="1" sqref="CM505" start="0" length="0">
    <dxf>
      <fill>
        <patternFill patternType="none">
          <bgColor indexed="65"/>
        </patternFill>
      </fill>
    </dxf>
  </rfmt>
  <rfmt sheetId="1" sqref="CN505" start="0" length="0">
    <dxf>
      <fill>
        <patternFill patternType="none">
          <bgColor indexed="65"/>
        </patternFill>
      </fill>
    </dxf>
  </rfmt>
  <rfmt sheetId="1" sqref="CO505" start="0" length="0">
    <dxf>
      <fill>
        <patternFill patternType="none">
          <bgColor indexed="65"/>
        </patternFill>
      </fill>
    </dxf>
  </rfmt>
  <rfmt sheetId="1" sqref="CP505" start="0" length="0">
    <dxf>
      <fill>
        <patternFill patternType="none">
          <bgColor indexed="65"/>
        </patternFill>
      </fill>
    </dxf>
  </rfmt>
  <rfmt sheetId="1" sqref="CQ505" start="0" length="0">
    <dxf>
      <fill>
        <patternFill patternType="none">
          <bgColor indexed="65"/>
        </patternFill>
      </fill>
    </dxf>
  </rfmt>
  <rfmt sheetId="1" sqref="CR505" start="0" length="0">
    <dxf>
      <fill>
        <patternFill patternType="none">
          <bgColor indexed="65"/>
        </patternFill>
      </fill>
    </dxf>
  </rfmt>
  <rfmt sheetId="1" sqref="CS505" start="0" length="0">
    <dxf>
      <fill>
        <patternFill patternType="none">
          <bgColor indexed="65"/>
        </patternFill>
      </fill>
    </dxf>
  </rfmt>
  <rfmt sheetId="1" sqref="CT505" start="0" length="0">
    <dxf>
      <fill>
        <patternFill patternType="none">
          <bgColor indexed="65"/>
        </patternFill>
      </fill>
    </dxf>
  </rfmt>
  <rfmt sheetId="1" sqref="CU505" start="0" length="0">
    <dxf>
      <fill>
        <patternFill patternType="none">
          <bgColor indexed="65"/>
        </patternFill>
      </fill>
    </dxf>
  </rfmt>
  <rfmt sheetId="1" sqref="CV505" start="0" length="0">
    <dxf>
      <fill>
        <patternFill patternType="none">
          <bgColor indexed="65"/>
        </patternFill>
      </fill>
    </dxf>
  </rfmt>
  <rfmt sheetId="1" sqref="CW505" start="0" length="0">
    <dxf>
      <fill>
        <patternFill patternType="none">
          <bgColor indexed="65"/>
        </patternFill>
      </fill>
    </dxf>
  </rfmt>
  <rfmt sheetId="1" sqref="CX505" start="0" length="0">
    <dxf>
      <fill>
        <patternFill patternType="none">
          <bgColor indexed="65"/>
        </patternFill>
      </fill>
    </dxf>
  </rfmt>
  <rfmt sheetId="1" sqref="CY505" start="0" length="0">
    <dxf>
      <fill>
        <patternFill patternType="none">
          <bgColor indexed="65"/>
        </patternFill>
      </fill>
    </dxf>
  </rfmt>
  <rfmt sheetId="1" sqref="CZ505" start="0" length="0">
    <dxf>
      <fill>
        <patternFill patternType="none">
          <bgColor indexed="65"/>
        </patternFill>
      </fill>
    </dxf>
  </rfmt>
  <rfmt sheetId="1" sqref="DA505" start="0" length="0">
    <dxf>
      <fill>
        <patternFill patternType="none">
          <bgColor indexed="65"/>
        </patternFill>
      </fill>
    </dxf>
  </rfmt>
  <rfmt sheetId="1" sqref="DB505" start="0" length="0">
    <dxf>
      <fill>
        <patternFill patternType="none">
          <bgColor indexed="65"/>
        </patternFill>
      </fill>
    </dxf>
  </rfmt>
  <rfmt sheetId="1" sqref="DC505" start="0" length="0">
    <dxf>
      <fill>
        <patternFill patternType="none">
          <bgColor indexed="65"/>
        </patternFill>
      </fill>
    </dxf>
  </rfmt>
  <rfmt sheetId="1" sqref="DD505" start="0" length="0">
    <dxf>
      <fill>
        <patternFill patternType="none">
          <bgColor indexed="65"/>
        </patternFill>
      </fill>
    </dxf>
  </rfmt>
  <rfmt sheetId="1" sqref="DE505" start="0" length="0">
    <dxf>
      <fill>
        <patternFill patternType="none">
          <bgColor indexed="65"/>
        </patternFill>
      </fill>
    </dxf>
  </rfmt>
  <rfmt sheetId="1" sqref="DF505" start="0" length="0">
    <dxf>
      <fill>
        <patternFill patternType="none">
          <bgColor indexed="65"/>
        </patternFill>
      </fill>
    </dxf>
  </rfmt>
  <rfmt sheetId="1" sqref="DG505" start="0" length="0">
    <dxf>
      <fill>
        <patternFill patternType="none">
          <bgColor indexed="65"/>
        </patternFill>
      </fill>
    </dxf>
  </rfmt>
  <rfmt sheetId="1" sqref="A505:XFD505" start="0" length="0">
    <dxf>
      <fill>
        <patternFill patternType="none">
          <bgColor indexed="65"/>
        </patternFill>
      </fill>
    </dxf>
  </rfmt>
  <rfmt sheetId="1" sqref="F504:F505">
    <dxf>
      <alignment wrapText="1"/>
    </dxf>
  </rfmt>
  <rcv guid="{7C1B4D6D-D666-48DD-AB17-E00791B6F0B6}" action="delete"/>
  <rdn rId="0" localSheetId="1" customView="1" name="Z_7C1B4D6D_D666_48DD_AB17_E00791B6F0B6_.wvu.PrintArea" hidden="1" oldHidden="1">
    <formula>Sheet1!$A$1:$AL$524</formula>
    <oldFormula>Sheet1!$A$1:$AL$524</oldFormula>
  </rdn>
  <rdn rId="0" localSheetId="1" customView="1" name="Z_7C1B4D6D_D666_48DD_AB17_E00791B6F0B6_.wvu.Cols" hidden="1" oldHidden="1">
    <formula>Sheet1!$G:$R</formula>
  </rdn>
  <rdn rId="0" localSheetId="1" customView="1" name="Z_7C1B4D6D_D666_48DD_AB17_E00791B6F0B6_.wvu.FilterData" hidden="1" oldHidden="1">
    <formula>Sheet1!$A$7:$DG$497</formula>
    <oldFormula>Sheet1!$A$7:$DG$497</oldFormula>
  </rdn>
  <rcv guid="{7C1B4D6D-D666-48DD-AB17-E00791B6F0B6}" action="add"/>
</revisions>
</file>

<file path=xl/revisions/revisionLog4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75" sId="1" numFmtId="4">
    <oc r="AJ312">
      <v>8636594.6300000008</v>
    </oc>
    <nc r="AJ312">
      <f>8636594.63+2463862.74</f>
    </nc>
  </rcc>
  <rcc rId="5676" sId="1" numFmtId="4">
    <oc r="AJ313">
      <v>9168591.8699999992</v>
    </oc>
    <nc r="AJ313">
      <v>9867764.7599999998</v>
    </nc>
  </rcc>
  <rcc rId="5677" sId="1" numFmtId="4">
    <oc r="AJ316">
      <v>9668370.0399999991</v>
    </oc>
    <nc r="AJ316">
      <v>9840778.7300000004</v>
    </nc>
  </rcc>
  <rcc rId="5678" sId="1" numFmtId="4">
    <oc r="AJ317">
      <v>2140906.33</v>
    </oc>
    <nc r="AJ317">
      <v>2263203.63</v>
    </nc>
  </rcc>
  <rcc rId="5679" sId="1" numFmtId="4">
    <oc r="AJ319">
      <f>21674020.51-64.34</f>
    </oc>
    <nc r="AJ319">
      <f>25165624.15-64.26</f>
    </nc>
  </rcc>
  <rcc rId="5680" sId="1" numFmtId="4">
    <oc r="AK319">
      <f>1164518.1-64.34</f>
    </oc>
    <nc r="AK319">
      <f>1447911.57-64.26</f>
    </nc>
  </rcc>
  <rcc rId="5681" sId="1" numFmtId="4">
    <oc r="AJ321">
      <f>9134341.57+76828.19+1122443.91</f>
    </oc>
    <nc r="AJ321">
      <v>10642106.1</v>
    </nc>
  </rcc>
  <rcc rId="5682" sId="1" numFmtId="4">
    <oc r="AJ322">
      <f>469782.92+113511.01</f>
    </oc>
    <nc r="AJ322">
      <v>1581295.57</v>
    </nc>
  </rcc>
  <rcc rId="5683" sId="1" numFmtId="4">
    <oc r="AJ323">
      <v>5817.56</v>
    </oc>
    <nc r="AJ323">
      <v>100211.1</v>
    </nc>
  </rcc>
  <rcc rId="5684" sId="1" numFmtId="4">
    <oc r="AJ325">
      <f>3440723.81+475364.38+862441.97</f>
    </oc>
    <nc r="AJ325">
      <v>4914766.6399999997</v>
    </nc>
  </rcc>
  <rcc rId="5685" sId="1" numFmtId="4">
    <oc r="AJ327">
      <f>457510.12+31100.83+37955.02+48610.7</f>
    </oc>
    <nc r="AJ327">
      <v>637411.23</v>
    </nc>
  </rcc>
  <rcc rId="5686" sId="1" numFmtId="4">
    <oc r="AJ329">
      <f>1854921.77+82241.2+80726.08+0.04+1424161.81</f>
    </oc>
    <nc r="AJ329">
      <v>7504368.7699999996</v>
    </nc>
  </rcc>
  <rcc rId="5687" sId="1" numFmtId="4">
    <oc r="AJ332">
      <f>51639.73+64908.11+279959.69+182506.81+204824.85</f>
    </oc>
    <nc r="AJ332">
      <v>1046822.23</v>
    </nc>
  </rcc>
  <rcc rId="5688" sId="1" numFmtId="4">
    <oc r="AJ333">
      <f>4814425.83+239093.69+4448978.65+768.2</f>
    </oc>
    <nc r="AJ333">
      <v>11126144.5</v>
    </nc>
  </rcc>
  <rcc rId="5689" sId="1" numFmtId="4">
    <oc r="AJ334">
      <f>137690.72+51834.75+444180.88+324773.67</f>
    </oc>
    <nc r="AJ334">
      <v>2926760.5</v>
    </nc>
  </rcc>
  <rcc rId="5690" sId="1" numFmtId="4">
    <oc r="AJ335">
      <f>11810641.11+1658000</f>
    </oc>
    <nc r="AJ335">
      <v>13499794.970000001</v>
    </nc>
  </rcc>
  <rcc rId="5691" sId="1" numFmtId="4">
    <oc r="AJ336">
      <f>11464350.64+500110.3+15570.61+471908.06</f>
    </oc>
    <nc r="AJ336">
      <v>14591533.85</v>
    </nc>
  </rcc>
  <rcc rId="5692" sId="1" numFmtId="4">
    <oc r="AJ315">
      <v>1410125.79</v>
    </oc>
    <nc r="AJ315">
      <v>2210161.75</v>
    </nc>
  </rcc>
  <rcc rId="5693" sId="1" numFmtId="4">
    <oc r="AJ330">
      <v>11200209.65</v>
    </oc>
    <nc r="AJ330">
      <v>12372517.5</v>
    </nc>
  </rcc>
  <rcc rId="5694" sId="1">
    <oc r="AL3" t="inlineStr">
      <is>
        <t>30,11,2018</t>
      </is>
    </oc>
    <nc r="AL3" t="inlineStr">
      <is>
        <t>31,12,2018</t>
      </is>
    </nc>
  </rcc>
  <rcv guid="{A87F3E0E-3A8E-4B82-8170-33752259B7DB}" action="delete"/>
  <rdn rId="0" localSheetId="1" customView="1" name="Z_A87F3E0E_3A8E_4B82_8170_33752259B7DB_.wvu.PrintArea" hidden="1" oldHidden="1">
    <formula>Sheet1!$A$1:$AL$524</formula>
    <oldFormula>Sheet1!$A$1:$AL$524</oldFormula>
  </rdn>
  <rdn rId="0" localSheetId="1" customView="1" name="Z_A87F3E0E_3A8E_4B82_8170_33752259B7DB_.wvu.FilterData" hidden="1" oldHidden="1">
    <formula>Sheet1!$A$6:$AL$524</formula>
    <oldFormula>Sheet1!$A$6:$AL$524</oldFormula>
  </rdn>
  <rcv guid="{A87F3E0E-3A8E-4B82-8170-33752259B7DB}" action="add"/>
</revisions>
</file>

<file path=xl/revisions/revisionLog4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AA4DFE-88B1-4674-95ED-5FCD7A50BC22}" action="delete"/>
  <rdn rId="0" localSheetId="1" customView="1" name="Z_5AAA4DFE_88B1_4674_95ED_5FCD7A50BC22_.wvu.PrintArea" hidden="1" oldHidden="1">
    <formula>Sheet1!$A$1:$AL$524</formula>
    <oldFormula>Sheet1!$A$1:$AL$524</oldFormula>
  </rdn>
  <rdn rId="0" localSheetId="1" customView="1" name="Z_5AAA4DFE_88B1_4674_95ED_5FCD7A50BC22_.wvu.FilterData" hidden="1" oldHidden="1">
    <formula>Sheet1!$A$1:$DG$498</formula>
    <oldFormula>Sheet1!$A$1:$DG$498</oldFormula>
  </rdn>
  <rcv guid="{5AAA4DFE-88B1-4674-95ED-5FCD7A50BC22}" action="add"/>
</revisions>
</file>

<file path=xl/revisions/revisionLog4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99" sId="1">
    <oc r="AJ113">
      <f>32343.8+5296.55</f>
    </oc>
    <nc r="AJ113">
      <f>32343.8+5296.22</f>
    </nc>
  </rcc>
  <rcc rId="5700" sId="1" numFmtId="4">
    <oc r="AK82">
      <v>0</v>
    </oc>
    <nc r="AK82">
      <v>2098.5</v>
    </nc>
  </rcc>
  <rcc rId="5701" sId="1" numFmtId="4">
    <oc r="AJ83">
      <f>38813.94-2594.06</f>
    </oc>
    <nc r="AJ83">
      <v>38178.44</v>
    </nc>
  </rcc>
  <rcc rId="5702" sId="1" numFmtId="4">
    <oc r="AK83">
      <v>2594.06</v>
    </oc>
    <nc r="AK83">
      <v>3425.9</v>
    </nc>
  </rcc>
  <rcc rId="5703" sId="1" numFmtId="4">
    <oc r="AJ32">
      <v>19986</v>
    </oc>
    <nc r="AJ32">
      <v>17436.62</v>
    </nc>
  </rcc>
  <rcc rId="5704" sId="1" numFmtId="4">
    <oc r="AK32">
      <v>0</v>
    </oc>
    <nc r="AK32">
      <v>2549.38</v>
    </nc>
  </rcc>
  <rcc rId="5705" sId="1" numFmtId="4">
    <oc r="AK136">
      <v>5449.39</v>
    </oc>
    <nc r="AK136">
      <v>5449.34</v>
    </nc>
  </rcc>
  <rcc rId="5706" sId="1" numFmtId="4">
    <oc r="AJ90">
      <v>67994.92</v>
    </oc>
    <nc r="AJ90">
      <v>67994.820000000007</v>
    </nc>
  </rcc>
</revisions>
</file>

<file path=xl/revisions/revisionLog4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07" sId="1" numFmtId="4">
    <oc r="AJ334">
      <v>2926760.5</v>
    </oc>
    <nc r="AJ334">
      <v>2956760.5</v>
    </nc>
  </rcc>
</revisions>
</file>

<file path=xl/revisions/revisionLog4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08" sId="1" numFmtId="4">
    <nc r="AJ56">
      <v>0</v>
    </nc>
  </rcc>
  <rcc rId="5709" sId="1" numFmtId="4">
    <nc r="AK56">
      <v>0</v>
    </nc>
  </rcc>
  <rfmt sheetId="1" sqref="AJ56:AK56">
    <dxf>
      <numFmt numFmtId="4" formatCode="#,##0.00"/>
    </dxf>
  </rfmt>
  <rfmt sheetId="1" sqref="AJ56:AK56" start="0" length="2147483647">
    <dxf>
      <font>
        <b val="0"/>
      </font>
    </dxf>
  </rfmt>
  <rcc rId="5710" sId="1" odxf="1" dxf="1" numFmtId="4">
    <nc r="AJ57">
      <v>0</v>
    </nc>
    <odxf>
      <font>
        <b/>
        <sz val="12"/>
        <color auto="1"/>
      </font>
      <numFmt numFmtId="3" formatCode="#,##0"/>
    </odxf>
    <ndxf>
      <font>
        <b val="0"/>
        <sz val="12"/>
        <color auto="1"/>
      </font>
      <numFmt numFmtId="4" formatCode="#,##0.00"/>
    </ndxf>
  </rcc>
  <rcc rId="5711" sId="1" odxf="1" dxf="1" numFmtId="4">
    <nc r="AK57">
      <v>0</v>
    </nc>
    <odxf>
      <font>
        <b/>
        <sz val="12"/>
        <color auto="1"/>
      </font>
      <numFmt numFmtId="3" formatCode="#,##0"/>
    </odxf>
    <ndxf>
      <font>
        <b val="0"/>
        <sz val="12"/>
        <color auto="1"/>
      </font>
      <numFmt numFmtId="4" formatCode="#,##0.00"/>
    </ndxf>
  </rcc>
  <rcc rId="5712" sId="1" odxf="1" dxf="1" numFmtId="4">
    <nc r="AJ58">
      <v>0</v>
    </nc>
    <odxf>
      <font>
        <b/>
        <sz val="12"/>
        <color auto="1"/>
      </font>
      <numFmt numFmtId="3" formatCode="#,##0"/>
    </odxf>
    <ndxf>
      <font>
        <b val="0"/>
        <sz val="12"/>
        <color auto="1"/>
      </font>
      <numFmt numFmtId="4" formatCode="#,##0.00"/>
    </ndxf>
  </rcc>
  <rcc rId="5713" sId="1" odxf="1" dxf="1" numFmtId="4">
    <nc r="AK58">
      <v>0</v>
    </nc>
    <odxf>
      <font>
        <b/>
        <sz val="12"/>
        <color auto="1"/>
      </font>
      <numFmt numFmtId="3" formatCode="#,##0"/>
    </odxf>
    <ndxf>
      <font>
        <b val="0"/>
        <sz val="12"/>
        <color auto="1"/>
      </font>
      <numFmt numFmtId="4" formatCode="#,##0.00"/>
    </ndxf>
  </rcc>
  <rfmt sheetId="1" sqref="AJ176:AK176" start="0" length="2147483647">
    <dxf>
      <font>
        <b val="0"/>
      </font>
    </dxf>
  </rfmt>
  <rcc rId="5714" sId="1" numFmtId="4">
    <nc r="AJ208">
      <v>0</v>
    </nc>
  </rcc>
  <rcc rId="5715" sId="1" numFmtId="4">
    <nc r="AK208">
      <v>0</v>
    </nc>
  </rcc>
  <rcc rId="5716" sId="1" numFmtId="4">
    <nc r="AJ227">
      <v>0</v>
    </nc>
  </rcc>
  <rcc rId="5717" sId="1" numFmtId="4">
    <nc r="AK227">
      <v>0</v>
    </nc>
  </rcc>
  <rcc rId="5718" sId="1" odxf="1" s="1" dxf="1" numFmtId="4">
    <nc r="AJ242">
      <v>0</v>
    </nc>
    <ndxf>
      <font>
        <b val="0"/>
        <sz val="12"/>
        <color auto="1"/>
        <name val="Calibri"/>
        <family val="2"/>
        <charset val="238"/>
        <scheme val="minor"/>
      </font>
      <numFmt numFmtId="165" formatCode="#,##0.00_ ;\-#,##0.00\ "/>
      <border outline="0">
        <top style="thin">
          <color indexed="64"/>
        </top>
      </border>
    </ndxf>
  </rcc>
  <rcc rId="5719" sId="1" odxf="1" s="1" dxf="1" numFmtId="4">
    <nc r="AK242">
      <v>0</v>
    </nc>
    <ndxf>
      <font>
        <b val="0"/>
        <sz val="12"/>
        <color auto="1"/>
        <name val="Calibri"/>
        <family val="2"/>
        <charset val="238"/>
        <scheme val="minor"/>
      </font>
      <numFmt numFmtId="165" formatCode="#,##0.00_ ;\-#,##0.00\ "/>
    </ndxf>
  </rcc>
  <rcc rId="5720" sId="1" odxf="1" dxf="1" numFmtId="4">
    <nc r="AJ277">
      <v>0</v>
    </nc>
    <ndxf>
      <font>
        <b val="0"/>
        <sz val="12"/>
        <color auto="1"/>
      </font>
      <numFmt numFmtId="4" formatCode="#,##0.00"/>
      <border outline="0">
        <top style="thin">
          <color indexed="64"/>
        </top>
      </border>
    </ndxf>
  </rcc>
  <rcc rId="5721" sId="1" odxf="1" dxf="1" numFmtId="4">
    <nc r="AK277">
      <v>0</v>
    </nc>
    <ndxf>
      <font>
        <b val="0"/>
        <sz val="12"/>
        <color auto="1"/>
      </font>
      <numFmt numFmtId="4" formatCode="#,##0.00"/>
    </ndxf>
  </rcc>
  <rcc rId="5722" sId="1" numFmtId="4">
    <nc r="AJ489">
      <v>0</v>
    </nc>
  </rcc>
  <rcc rId="5723" sId="1" numFmtId="4">
    <nc r="AK489">
      <v>0</v>
    </nc>
  </rcc>
  <rcc rId="5724" sId="1" numFmtId="4">
    <nc r="AJ490">
      <v>0</v>
    </nc>
  </rcc>
  <rcc rId="5725" sId="1" numFmtId="4">
    <nc r="AK490">
      <v>0</v>
    </nc>
  </rcc>
  <rcc rId="5726" sId="1" numFmtId="4">
    <nc r="AJ493">
      <v>0</v>
    </nc>
  </rcc>
  <rcc rId="5727" sId="1" numFmtId="4">
    <nc r="AK493">
      <v>0</v>
    </nc>
  </rcc>
</revisions>
</file>

<file path=xl/revisions/revisionLog4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28" sId="1" numFmtId="4">
    <oc r="AJ489">
      <v>0</v>
    </oc>
    <nc r="AJ489">
      <v>4232165.5</v>
    </nc>
  </rcc>
  <rcc rId="5729" sId="1" numFmtId="4">
    <oc r="AJ490">
      <v>0</v>
    </oc>
    <nc r="AJ490">
      <v>64794622.270000003</v>
    </nc>
  </rcc>
</revisions>
</file>

<file path=xl/revisions/revisionLog4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30" sId="1" numFmtId="4">
    <oc r="AK355">
      <f>69261.08+47130.14-21060.86</f>
    </oc>
    <nc r="AK355">
      <v>67677.87</v>
    </nc>
  </rcc>
  <rcc rId="5731" sId="1" numFmtId="4">
    <nc r="AJ15">
      <v>0</v>
    </nc>
  </rcc>
  <rcc rId="5732" sId="1" numFmtId="4">
    <nc r="AK15">
      <v>0</v>
    </nc>
  </rcc>
  <rcc rId="5733" sId="1" numFmtId="4">
    <nc r="AJ33">
      <v>0</v>
    </nc>
  </rcc>
  <rcc rId="5734" sId="1" numFmtId="4">
    <nc r="AK33">
      <v>0</v>
    </nc>
  </rcc>
  <rcc rId="5735" sId="1" numFmtId="4">
    <nc r="AJ107">
      <v>0</v>
    </nc>
  </rcc>
  <rcc rId="5736" sId="1" numFmtId="4">
    <nc r="AK107">
      <v>0</v>
    </nc>
  </rcc>
  <rcc rId="5737" sId="1" numFmtId="4">
    <nc r="AJ150">
      <v>0</v>
    </nc>
  </rcc>
  <rcc rId="5738" sId="1" numFmtId="4">
    <nc r="AK150">
      <v>0</v>
    </nc>
  </rcc>
  <rcc rId="5739" sId="1" numFmtId="4">
    <nc r="AJ159">
      <v>0</v>
    </nc>
  </rcc>
  <rcc rId="5740" sId="1" numFmtId="4">
    <nc r="AK159">
      <v>0</v>
    </nc>
  </rcc>
  <rcc rId="5741" sId="1" numFmtId="4">
    <nc r="AJ169">
      <v>0</v>
    </nc>
  </rcc>
  <rcc rId="5742" sId="1" numFmtId="4">
    <nc r="AK169">
      <v>0</v>
    </nc>
  </rcc>
  <rcc rId="5743" sId="1" numFmtId="4">
    <oc r="AJ186">
      <f>24768.62+25919.16+26921.69</f>
    </oc>
    <nc r="AJ186">
      <v>0</v>
    </nc>
  </rcc>
  <rcc rId="5744" sId="1" numFmtId="4">
    <oc r="AK186">
      <f>3788.14+2637.6+4760.51</f>
    </oc>
    <nc r="AK186">
      <v>0</v>
    </nc>
  </rcc>
</revisions>
</file>

<file path=xl/revisions/revisionLog4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7C1B4D6D_D666_48DD_AB17_E00791B6F0B6_.wvu.Cols" hidden="1" oldHidden="1">
    <oldFormula>Sheet1!$G:$R</oldFormula>
  </rdn>
  <rcv guid="{7C1B4D6D-D666-48DD-AB17-E00791B6F0B6}" action="delete"/>
  <rdn rId="0" localSheetId="1" customView="1" name="Z_7C1B4D6D_D666_48DD_AB17_E00791B6F0B6_.wvu.PrintArea" hidden="1" oldHidden="1">
    <formula>Sheet1!$A$1:$AL$524</formula>
    <oldFormula>Sheet1!$A$1:$AL$524</oldFormula>
  </rdn>
  <rdn rId="0" localSheetId="1" customView="1" name="Z_7C1B4D6D_D666_48DD_AB17_E00791B6F0B6_.wvu.FilterData" hidden="1" oldHidden="1">
    <formula>Sheet1!$A$7:$DG$497</formula>
    <oldFormula>Sheet1!$A$7:$DG$497</oldFormula>
  </rdn>
  <rcv guid="{7C1B4D6D-D666-48DD-AB17-E00791B6F0B6}" action="add"/>
</revisions>
</file>

<file path=xl/revisions/revisionLog4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48" sId="1">
    <oc r="AL3" t="inlineStr">
      <is>
        <t>31,12,2018</t>
      </is>
    </oc>
    <nc r="AL3" t="inlineStr">
      <is>
        <t>11,01,2019</t>
      </is>
    </nc>
  </rcc>
  <rcv guid="{7C1B4D6D-D666-48DD-AB17-E00791B6F0B6}" action="delete"/>
  <rdn rId="0" localSheetId="1" customView="1" name="Z_7C1B4D6D_D666_48DD_AB17_E00791B6F0B6_.wvu.PrintArea" hidden="1" oldHidden="1">
    <formula>Sheet1!$A$1:$AL$524</formula>
    <oldFormula>Sheet1!$A$1:$AL$524</oldFormula>
  </rdn>
  <rdn rId="0" localSheetId="1" customView="1" name="Z_7C1B4D6D_D666_48DD_AB17_E00791B6F0B6_.wvu.FilterData" hidden="1" oldHidden="1">
    <formula>Sheet1!$A$7:$DG$497</formula>
    <oldFormula>Sheet1!$A$7:$DG$497</oldFormula>
  </rdn>
  <rcv guid="{7C1B4D6D-D666-48DD-AB17-E00791B6F0B6}" action="add"/>
</revisions>
</file>

<file path=xl/revisions/revisionLog4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51" sId="1">
    <nc r="A66">
      <v>6</v>
    </nc>
  </rcc>
  <rcc rId="5752" sId="1">
    <nc r="B66">
      <v>126524</v>
    </nc>
  </rcc>
  <rcc rId="5753" sId="1">
    <nc r="C66">
      <v>552</v>
    </nc>
  </rcc>
  <rcc rId="5754" sId="1">
    <nc r="D66" t="inlineStr">
      <is>
        <t>MM</t>
      </is>
    </nc>
  </rcc>
  <rcc rId="5755" sId="1">
    <nc r="E66" t="inlineStr">
      <is>
        <t>AP 2/11i/2.1</t>
      </is>
    </nc>
  </rcc>
  <rcc rId="5756" sId="1" odxf="1" dxf="1">
    <nc r="F66" t="inlineStr">
      <is>
        <t>CP10 less /2018</t>
      </is>
    </nc>
    <odxf>
      <font>
        <b val="0"/>
        <sz val="12"/>
      </font>
      <alignment horizontal="general"/>
    </odxf>
    <ndxf>
      <font>
        <b/>
        <sz val="12"/>
        <color auto="1"/>
      </font>
      <alignment horizontal="left"/>
    </ndxf>
  </rcc>
  <rcc rId="5757" sId="1">
    <nc r="G66" t="inlineStr">
      <is>
        <t>Cresterea capacității administrative a autorității publice locale a Municipiului Codlea, in fundamentarea deciziilor, planificarea strategică si măsurile de simplificare pentru cetățeni</t>
      </is>
    </nc>
  </rcc>
  <rcc rId="5758" sId="1">
    <nc r="H66" t="inlineStr">
      <is>
        <t>Municipiul Codlea</t>
      </is>
    </nc>
  </rcc>
  <rcc rId="5759" sId="1">
    <nc r="I66" t="inlineStr">
      <is>
        <t>n.a</t>
      </is>
    </nc>
  </rcc>
  <rcc rId="5760" sId="1">
    <nc r="J66" t="inlineStr">
      <is>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is>
    </nc>
  </rcc>
  <rcc rId="5761" sId="1" numFmtId="19">
    <nc r="K66">
      <v>43480</v>
    </nc>
  </rcc>
  <rcc rId="5762" sId="1" numFmtId="19">
    <nc r="L66">
      <v>44027</v>
    </nc>
  </rcc>
  <rcc rId="5763" sId="1">
    <nc r="N66">
      <v>8</v>
    </nc>
  </rcc>
  <rcc rId="5764" sId="1">
    <nc r="O66" t="inlineStr">
      <is>
        <t>Brașov</t>
      </is>
    </nc>
  </rcc>
  <rcc rId="5765" sId="1">
    <nc r="P66" t="inlineStr">
      <is>
        <t>Brasov</t>
      </is>
    </nc>
  </rcc>
  <rcc rId="5766" sId="1">
    <nc r="Q66" t="inlineStr">
      <is>
        <t>APL</t>
      </is>
    </nc>
  </rcc>
  <rcc rId="5767" sId="1">
    <nc r="R66" t="inlineStr">
      <is>
        <t>119 - Investiții în capacitatea instituțională și în eficiența administrațiilor și a serviciilor publice la nivel național, regional și local, în perspectiva realizării de reforme, a unei mai bune legiferări și a bunei guvernanțe</t>
      </is>
    </nc>
  </rcc>
  <rcc rId="5768" sId="1" numFmtId="4">
    <nc r="T66">
      <v>2460839.27</v>
    </nc>
  </rcc>
  <rcc rId="5769" sId="1" numFmtId="4">
    <nc r="U66">
      <v>0</v>
    </nc>
  </rcc>
  <rcc rId="5770" sId="1" endOfListFormulaUpdate="1">
    <oc r="U70">
      <f>SUM(U61:U65)</f>
    </oc>
    <nc r="U70">
      <f>SUM(U61:U66)</f>
    </nc>
  </rcc>
  <rcc rId="5771" sId="1" numFmtId="4">
    <nc r="W66">
      <v>376363.66</v>
    </nc>
  </rcc>
  <rcc rId="5772" sId="1" numFmtId="4">
    <nc r="Z66">
      <v>57902.1</v>
    </nc>
  </rcc>
  <rcc rId="5773" sId="1" endOfListFormulaUpdate="1">
    <oc r="Z70">
      <f>SUM(Z61:Z65)</f>
    </oc>
    <nc r="Z70">
      <f>SUM(Z61:Z66)</f>
    </nc>
  </rcc>
  <rcc rId="5774" sId="1" numFmtId="4">
    <nc r="AA66">
      <v>0</v>
    </nc>
  </rcc>
  <rcc rId="5775" sId="1" endOfListFormulaUpdate="1">
    <oc r="AA70">
      <f>SUM(AA61:AA65)</f>
    </oc>
    <nc r="AA70">
      <f>SUM(AA61:AA66)</f>
    </nc>
  </rcc>
  <rcc rId="5776" sId="1">
    <nc r="AC66">
      <v>0</v>
    </nc>
  </rcc>
  <rcc rId="5777" sId="1" endOfListFormulaUpdate="1">
    <oc r="AC70">
      <f>SUM(AC61:AC65)</f>
    </oc>
    <nc r="AC70">
      <f>SUM(AC61:AC66)</f>
    </nc>
  </rcc>
  <rcc rId="5778" sId="1">
    <nc r="AD66">
      <v>0</v>
    </nc>
  </rcc>
  <rcc rId="5779" sId="1" endOfListFormulaUpdate="1">
    <oc r="AD70">
      <f>SUM(AD61:AD65)</f>
    </oc>
    <nc r="AD70">
      <f>SUM(AD61:AD66)</f>
    </nc>
  </rcc>
  <rcv guid="{65C35D6D-934F-4431-BA92-90255FC17BA4}" action="delete"/>
  <rdn rId="0" localSheetId="1" customView="1" name="Z_65C35D6D_934F_4431_BA92_90255FC17BA4_.wvu.PrintArea" hidden="1" oldHidden="1">
    <formula>Sheet1!$A$1:$AL$524</formula>
    <oldFormula>Sheet1!$A$1:$AL$524</oldFormula>
  </rdn>
  <rdn rId="0" localSheetId="1" customView="1" name="Z_65C35D6D_934F_4431_BA92_90255FC17BA4_.wvu.FilterData" hidden="1" oldHidden="1">
    <formula>Sheet1!$A$1:$AL$497</formula>
    <oldFormula>Sheet1!$A$1:$AL$497</oldFormula>
  </rdn>
  <rcv guid="{65C35D6D-934F-4431-BA92-90255FC17BA4}" action="add"/>
</revisions>
</file>

<file path=xl/revisions/revisionLog4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82" sId="1">
    <nc r="B27">
      <v>126349</v>
    </nc>
  </rcc>
  <rcc rId="5783" sId="1">
    <nc r="C27">
      <v>566</v>
    </nc>
  </rcc>
  <rcc rId="5784" sId="1">
    <nc r="D27" t="inlineStr">
      <is>
        <t>OD</t>
      </is>
    </nc>
  </rcc>
  <rcc rId="5785" sId="1">
    <nc r="E27" t="inlineStr">
      <is>
        <t>AP 2/11i /2.1</t>
      </is>
    </nc>
  </rcc>
  <rcc rId="5786" sId="1">
    <nc r="F27" t="inlineStr">
      <is>
        <t>CP10 less /2018</t>
      </is>
    </nc>
  </rcc>
  <rcc rId="5787" sId="1">
    <nc r="G27" t="inlineStr">
      <is>
        <t>Simplificarea procedurilor administrative pentru cetațenii Municipiului Pitești</t>
      </is>
    </nc>
  </rcc>
  <rcc rId="5788" sId="1">
    <nc r="H27" t="inlineStr">
      <is>
        <t>Municipiul Pitești</t>
      </is>
    </nc>
  </rcc>
  <rcc rId="5789" sId="1">
    <nc r="I27" t="inlineStr">
      <is>
        <t>n.a</t>
      </is>
    </nc>
  </rcc>
  <rcc rId="5790" sId="1">
    <nc r="J27" t="inlineStr">
      <is>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is>
    </nc>
  </rcc>
  <rcc rId="5791" sId="1" numFmtId="19">
    <nc r="K27">
      <v>43482</v>
    </nc>
  </rcc>
  <rcc rId="5792" sId="1" numFmtId="19">
    <nc r="L27">
      <v>44212</v>
    </nc>
  </rcc>
  <rcc rId="5793" sId="1">
    <nc r="N27">
      <v>3</v>
    </nc>
  </rcc>
  <rcc rId="5794" sId="1">
    <nc r="O27" t="inlineStr">
      <is>
        <t>Argeș</t>
      </is>
    </nc>
  </rcc>
  <rcc rId="5795" sId="1">
    <nc r="P27" t="inlineStr">
      <is>
        <t>Pitești</t>
      </is>
    </nc>
  </rcc>
  <rcc rId="5796" sId="1">
    <nc r="Q27" t="inlineStr">
      <is>
        <t>APL</t>
      </is>
    </nc>
  </rcc>
  <rcc rId="5797" sId="1">
    <nc r="R27" t="inlineStr">
      <is>
        <t>119 - Investiții în capacitatea instituțională și în eficiența administrațiilor și a serviciilor publice la nivel național, regional și local, în perspectiva realizării de reforme, a unei mai bune legiferări și a bunei guvernanțe</t>
      </is>
    </nc>
  </rcc>
  <rcc rId="5798" sId="1" endOfListFormulaUpdate="1">
    <oc r="T30">
      <f>SUM(T23:T26)</f>
    </oc>
    <nc r="T30">
      <f>SUM(T23:T27)</f>
    </nc>
  </rcc>
  <rcc rId="5799" sId="1" numFmtId="4">
    <nc r="U27">
      <v>0</v>
    </nc>
  </rcc>
  <rcc rId="5800" sId="1" endOfListFormulaUpdate="1">
    <oc r="U30">
      <f>SUM(U23:U26)</f>
    </oc>
    <nc r="U30">
      <f>SUM(U23:U27)</f>
    </nc>
  </rcc>
  <rcc rId="5801" sId="1" numFmtId="4">
    <nc r="W27">
      <v>519472.32</v>
    </nc>
  </rcc>
  <rcc rId="5802" sId="1" endOfListFormulaUpdate="1">
    <oc r="W30">
      <f>SUM(W23:W26)</f>
    </oc>
    <nc r="W30">
      <f>SUM(W23:W27)</f>
    </nc>
  </rcc>
  <rcc rId="5803" sId="1" numFmtId="4">
    <nc r="X27">
      <v>0</v>
    </nc>
  </rcc>
  <rcc rId="5804" sId="1" endOfListFormulaUpdate="1">
    <oc r="X30">
      <f>SUM(X23:X26)</f>
    </oc>
    <nc r="X30">
      <f>SUM(X23:X27)</f>
    </nc>
  </rcc>
  <rcc rId="5805" sId="1" numFmtId="4">
    <nc r="Z27">
      <v>79918.83</v>
    </nc>
  </rcc>
  <rcc rId="5806" sId="1" endOfListFormulaUpdate="1">
    <oc r="Z30">
      <f>SUM(Z23:Z26)</f>
    </oc>
    <nc r="Z30">
      <f>SUM(Z23:Z27)</f>
    </nc>
  </rcc>
  <rcc rId="5807" sId="1" numFmtId="4">
    <nc r="AA27">
      <v>0</v>
    </nc>
  </rcc>
  <rcc rId="5808" sId="1" endOfListFormulaUpdate="1">
    <oc r="AA30">
      <f>SUM(AA23:AA26)</f>
    </oc>
    <nc r="AA30">
      <f>SUM(AA23:AA27)</f>
    </nc>
  </rcc>
  <rcc rId="5809" sId="1" numFmtId="4">
    <nc r="AC27">
      <v>0</v>
    </nc>
  </rcc>
  <rcc rId="5810" sId="1" numFmtId="4">
    <nc r="AD27">
      <v>0</v>
    </nc>
  </rcc>
  <rcc rId="5811" sId="1">
    <nc r="S27">
      <f>T27+U27</f>
    </nc>
  </rcc>
  <rcc rId="5812" sId="1">
    <nc r="V27">
      <f>W27+X27</f>
    </nc>
  </rcc>
  <rcc rId="5813" sId="1">
    <nc r="Y27">
      <f>Z27+AA27</f>
    </nc>
  </rcc>
  <rcc rId="5814" sId="1">
    <nc r="AB27">
      <f>AC27+AD27</f>
    </nc>
  </rcc>
  <rcc rId="5815" sId="1" endOfListFormulaUpdate="1">
    <oc r="AB30">
      <f>SUM(AB23:AB26)</f>
    </oc>
    <nc r="AB30">
      <f>SUM(AB23:AB27)</f>
    </nc>
  </rcc>
  <rcc rId="5816" sId="1">
    <nc r="AE27">
      <f>S27+V27+Y27+AB27</f>
    </nc>
  </rcc>
  <rcc rId="5817" sId="1" numFmtId="4">
    <nc r="T27">
      <v>3396550.05</v>
    </nc>
  </rcc>
  <rcc rId="5818" sId="1" numFmtId="4">
    <nc r="AF27">
      <v>0</v>
    </nc>
  </rcc>
  <rcc rId="5819" sId="1">
    <nc r="AG27">
      <f>AE27+AF27</f>
    </nc>
  </rcc>
  <rcc rId="5820" sId="1" endOfListFormulaUpdate="1">
    <oc r="AG30">
      <f>SUM(AG23:AG26)</f>
    </oc>
    <nc r="AG30">
      <f>SUM(AG23:AG27)</f>
    </nc>
  </rcc>
  <rcc rId="5821" sId="1">
    <nc r="AH27" t="inlineStr">
      <is>
        <t xml:space="preserve"> în implementare</t>
      </is>
    </nc>
  </rcc>
  <rcv guid="{FE50EAC0-52A5-4C33-B973-65E93D03D3EA}" action="delete"/>
  <rdn rId="0" localSheetId="1" customView="1" name="Z_FE50EAC0_52A5_4C33_B973_65E93D03D3EA_.wvu.PrintArea" hidden="1" oldHidden="1">
    <formula>Sheet1!$A$1:$AL$524</formula>
    <oldFormula>Sheet1!$A$1:$AL$524</oldFormula>
  </rdn>
  <rdn rId="0" localSheetId="1" customView="1" name="Z_FE50EAC0_52A5_4C33_B973_65E93D03D3EA_.wvu.FilterData" hidden="1" oldHidden="1">
    <formula>Sheet1!$A$1:$DG$498</formula>
    <oldFormula>Sheet1!$A$1:$DG$498</oldFormula>
  </rdn>
  <rcv guid="{FE50EAC0-52A5-4C33-B973-65E93D03D3EA}" action="add"/>
</revisions>
</file>

<file path=xl/revisions/revisionLog4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24" sId="1">
    <oc r="O24" t="inlineStr">
      <is>
        <t>Argeș</t>
      </is>
    </oc>
    <nc r="O24" t="inlineStr">
      <is>
        <t>Buzau</t>
      </is>
    </nc>
  </rcc>
  <rcc rId="5825" sId="1">
    <oc r="N24">
      <v>3</v>
    </oc>
    <nc r="N24">
      <v>2</v>
    </nc>
  </rcc>
  <rcc rId="5826" sId="1">
    <oc r="P24" t="inlineStr">
      <is>
        <t>Pitești</t>
      </is>
    </oc>
    <nc r="P24" t="inlineStr">
      <is>
        <t>Rm. Sarat</t>
      </is>
    </nc>
  </rcc>
  <rcv guid="{53ED3D47-B2C0-43A1-9A1E-F030D529F74C}" action="delete"/>
  <rdn rId="0" localSheetId="1" customView="1" name="Z_53ED3D47_B2C0_43A1_9A1E_F030D529F74C_.wvu.PrintArea" hidden="1" oldHidden="1">
    <formula>Sheet1!$A$1:$AL$524</formula>
    <oldFormula>Sheet1!$A$1:$AL$524</oldFormula>
  </rdn>
  <rdn rId="0" localSheetId="1" customView="1" name="Z_53ED3D47_B2C0_43A1_9A1E_F030D529F74C_.wvu.FilterData" hidden="1" oldHidden="1">
    <formula>Sheet1!$A$6:$AL$524</formula>
    <oldFormula>Sheet1!$A$6:$AL$524</oldFormula>
  </rdn>
  <rcv guid="{53ED3D47-B2C0-43A1-9A1E-F030D529F74C}" action="add"/>
</revisions>
</file>

<file path=xl/revisions/revisionLog4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Sheet1!$A$1:$AL$524</formula>
    <oldFormula>Sheet1!$A$1:$AL$524</oldFormula>
  </rdn>
  <rdn rId="0" localSheetId="1" customView="1" name="Z_36624B2D_80F9_4F79_AC4A_B3547C36F23F_.wvu.FilterData" hidden="1" oldHidden="1">
    <formula>Sheet1!$A$1:$DG$498</formula>
    <oldFormula>Sheet1!$A$1:$DG$498</oldFormula>
  </rdn>
  <rcv guid="{36624B2D-80F9-4F79-AC4A-B3547C36F23F}" action="add"/>
</revisions>
</file>

<file path=xl/revisions/revisionLog4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31" sId="1">
    <nc r="A170">
      <v>7</v>
    </nc>
  </rcc>
  <rcc rId="5832" sId="1">
    <nc r="B170">
      <v>125603</v>
    </nc>
  </rcc>
  <rcc rId="5833" sId="1">
    <nc r="C170">
      <v>528</v>
    </nc>
  </rcc>
  <rcv guid="{36624B2D-80F9-4F79-AC4A-B3547C36F23F}" action="delete"/>
  <rdn rId="0" localSheetId="1" customView="1" name="Z_36624B2D_80F9_4F79_AC4A_B3547C36F23F_.wvu.PrintArea" hidden="1" oldHidden="1">
    <formula>Sheet1!$A$1:$AL$524</formula>
    <oldFormula>Sheet1!$A$1:$AL$524</oldFormula>
  </rdn>
  <rdn rId="0" localSheetId="1" customView="1" name="Z_36624B2D_80F9_4F79_AC4A_B3547C36F23F_.wvu.FilterData" hidden="1" oldHidden="1">
    <formula>Sheet1!$A$1:$DG$498</formula>
    <oldFormula>Sheet1!$A$1:$DG$498</oldFormula>
  </rdn>
  <rcv guid="{36624B2D-80F9-4F79-AC4A-B3547C36F23F}" action="add"/>
</revisions>
</file>

<file path=xl/revisions/revisionLog4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36" sId="1">
    <nc r="D170" t="inlineStr">
      <is>
        <t>ET</t>
      </is>
    </nc>
  </rcc>
</revisions>
</file>

<file path=xl/revisions/revisionLog4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37" sId="1">
    <nc r="E170" t="inlineStr">
      <is>
        <t>AP 2/11i/2.1</t>
      </is>
    </nc>
  </rcc>
  <rcc rId="5838" sId="1">
    <nc r="F170" t="inlineStr">
      <is>
        <t>CP10 less /2018</t>
      </is>
    </nc>
  </rcc>
  <rcv guid="{36624B2D-80F9-4F79-AC4A-B3547C36F23F}" action="delete"/>
  <rdn rId="0" localSheetId="1" customView="1" name="Z_36624B2D_80F9_4F79_AC4A_B3547C36F23F_.wvu.PrintArea" hidden="1" oldHidden="1">
    <formula>Sheet1!$A$1:$AL$524</formula>
    <oldFormula>Sheet1!$A$1:$AL$524</oldFormula>
  </rdn>
  <rdn rId="0" localSheetId="1" customView="1" name="Z_36624B2D_80F9_4F79_AC4A_B3547C36F23F_.wvu.FilterData" hidden="1" oldHidden="1">
    <formula>Sheet1!$A$1:$DG$498</formula>
    <oldFormula>Sheet1!$A$1:$DG$498</oldFormula>
  </rdn>
  <rcv guid="{36624B2D-80F9-4F79-AC4A-B3547C36F23F}" action="add"/>
</revisions>
</file>

<file path=xl/revisions/revisionLog4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41" sId="1">
    <nc r="H170" t="inlineStr">
      <is>
        <t>Judetul Gorj</t>
      </is>
    </nc>
  </rcc>
</revisions>
</file>

<file path=xl/revisions/revisionLog4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42" sId="1">
    <nc r="G170" t="inlineStr">
      <is>
        <t>Eficientizarea Planificarii Strategice la nivel Organizaional (EPSO)</t>
      </is>
    </nc>
  </rcc>
</revisions>
</file>

<file path=xl/revisions/revisionLog4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43" sId="1" odxf="1" dxf="1">
    <nc r="I170" t="inlineStr">
      <is>
        <t>n.a</t>
      </is>
    </nc>
    <odxf/>
    <ndxf/>
  </rcc>
</revisions>
</file>

<file path=xl/revisions/revisionLog4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44" sId="1">
    <nc r="J170" t="inlineStr">
      <is>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is>
    </nc>
  </rcc>
  <rcv guid="{36624B2D-80F9-4F79-AC4A-B3547C36F23F}" action="delete"/>
  <rdn rId="0" localSheetId="1" customView="1" name="Z_36624B2D_80F9_4F79_AC4A_B3547C36F23F_.wvu.PrintArea" hidden="1" oldHidden="1">
    <formula>Sheet1!$A$1:$AL$524</formula>
    <oldFormula>Sheet1!$A$1:$AL$524</oldFormula>
  </rdn>
  <rdn rId="0" localSheetId="1" customView="1" name="Z_36624B2D_80F9_4F79_AC4A_B3547C36F23F_.wvu.FilterData" hidden="1" oldHidden="1">
    <formula>Sheet1!$A$1:$DG$498</formula>
    <oldFormula>Sheet1!$A$1:$DG$498</oldFormula>
  </rdn>
  <rcv guid="{36624B2D-80F9-4F79-AC4A-B3547C36F23F}" action="add"/>
</revisions>
</file>

<file path=xl/revisions/revisionLog4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47" sId="1" numFmtId="19">
    <nc r="K170">
      <v>43486</v>
    </nc>
  </rcc>
</revisions>
</file>

<file path=xl/revisions/revisionLog4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48" sId="1" numFmtId="19">
    <nc r="L170">
      <v>44398</v>
    </nc>
  </rcc>
</revisions>
</file>

<file path=xl/revisions/revisionLog4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49" sId="1">
    <nc r="N170">
      <v>4</v>
    </nc>
  </rcc>
  <rcc rId="5850" sId="1">
    <nc r="O170" t="inlineStr">
      <is>
        <t>Gorj</t>
      </is>
    </nc>
  </rcc>
  <rcc rId="5851" sId="1">
    <nc r="P170" t="inlineStr">
      <is>
        <t>Targu Jiu</t>
      </is>
    </nc>
  </rcc>
  <rcc rId="5852" sId="1">
    <nc r="Q170" t="inlineStr">
      <is>
        <t>APL</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49" sId="1">
    <oc r="B157">
      <v>117834</v>
    </oc>
    <nc r="B157">
      <v>117835</v>
    </nc>
  </rcc>
</revisions>
</file>

<file path=xl/revisions/revisionLog5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53" sId="1">
    <nc r="R170" t="inlineStr">
      <is>
        <t>119 - Investiții în capacitatea instituțională și în eficiența administrațiilor și a serviciilor publice la nivel național, regional și local, în perspectiva realizării de reforme, a unei mai bune legiferări și a bunei guvernanțe</t>
      </is>
    </nc>
  </rcc>
  <rcv guid="{36624B2D-80F9-4F79-AC4A-B3547C36F23F}" action="delete"/>
  <rdn rId="0" localSheetId="1" customView="1" name="Z_36624B2D_80F9_4F79_AC4A_B3547C36F23F_.wvu.PrintArea" hidden="1" oldHidden="1">
    <formula>Sheet1!$A$1:$AL$524</formula>
    <oldFormula>Sheet1!$A$1:$AL$524</oldFormula>
  </rdn>
  <rdn rId="0" localSheetId="1" customView="1" name="Z_36624B2D_80F9_4F79_AC4A_B3547C36F23F_.wvu.FilterData" hidden="1" oldHidden="1">
    <formula>Sheet1!$A$1:$DG$498</formula>
    <oldFormula>Sheet1!$A$1:$DG$498</oldFormula>
  </rdn>
  <rcv guid="{36624B2D-80F9-4F79-AC4A-B3547C36F23F}" action="add"/>
</revisions>
</file>

<file path=xl/revisions/revisionLog5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56" sId="1" numFmtId="4">
    <nc r="T170">
      <v>2998968.16</v>
    </nc>
  </rcc>
  <rcc rId="5857" sId="1" endOfListFormulaUpdate="1">
    <oc r="T173">
      <f>SUM(T164:T169)</f>
    </oc>
    <nc r="T173">
      <f>SUM(T164:T170)</f>
    </nc>
  </rcc>
  <rcc rId="5858" sId="1" numFmtId="4">
    <nc r="U170">
      <v>0</v>
    </nc>
  </rcc>
</revisions>
</file>

<file path=xl/revisions/revisionLog5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59" sId="1" numFmtId="4">
    <nc r="W170">
      <v>458665.73</v>
    </nc>
  </rcc>
  <rcc rId="5860" sId="1" endOfListFormulaUpdate="1">
    <oc r="W173">
      <f>SUM(W164:W169)</f>
    </oc>
    <nc r="W173">
      <f>SUM(W164:W170)</f>
    </nc>
  </rcc>
  <rcc rId="5861" sId="1" numFmtId="4">
    <nc r="X170">
      <v>0</v>
    </nc>
  </rcc>
</revisions>
</file>

<file path=xl/revisions/revisionLog5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62" sId="1" numFmtId="4">
    <nc r="Z170">
      <v>70563.94</v>
    </nc>
  </rcc>
  <rcc rId="5863" sId="1" endOfListFormulaUpdate="1">
    <oc r="Z173">
      <f>SUM(Z164:Z169)</f>
    </oc>
    <nc r="Z173">
      <f>SUM(Z164:Z170)</f>
    </nc>
  </rcc>
  <rcc rId="5864" sId="1" numFmtId="4">
    <nc r="AA170">
      <v>0</v>
    </nc>
  </rcc>
</revisions>
</file>

<file path=xl/revisions/revisionLog5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65" sId="1" numFmtId="4">
    <nc r="AC170">
      <v>0</v>
    </nc>
  </rcc>
  <rcc rId="5866" sId="1" numFmtId="4">
    <nc r="AD170">
      <v>0</v>
    </nc>
  </rcc>
</revisions>
</file>

<file path=xl/revisions/revisionLog5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67" sId="1" numFmtId="4">
    <nc r="AF170">
      <v>0</v>
    </nc>
  </rcc>
  <rcc rId="5868" sId="1">
    <nc r="AH170" t="inlineStr">
      <is>
        <t xml:space="preserve"> în implementare</t>
      </is>
    </nc>
  </rcc>
</revisions>
</file>

<file path=xl/revisions/revisionLog5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69" sId="1">
    <oc r="AL3" t="inlineStr">
      <is>
        <t>11,01,2019</t>
      </is>
    </oc>
    <nc r="AL3" t="inlineStr">
      <is>
        <t>25,01,2019</t>
      </is>
    </nc>
  </rcc>
  <rcv guid="{7C1B4D6D-D666-48DD-AB17-E00791B6F0B6}" action="delete"/>
  <rdn rId="0" localSheetId="1" customView="1" name="Z_7C1B4D6D_D666_48DD_AB17_E00791B6F0B6_.wvu.PrintArea" hidden="1" oldHidden="1">
    <formula>Sheet1!$A$1:$AL$524</formula>
    <oldFormula>Sheet1!$A$1:$AL$524</oldFormula>
  </rdn>
  <rdn rId="0" localSheetId="1" customView="1" name="Z_7C1B4D6D_D666_48DD_AB17_E00791B6F0B6_.wvu.FilterData" hidden="1" oldHidden="1">
    <formula>Sheet1!$A$7:$DG$497</formula>
    <oldFormula>Sheet1!$A$7:$DG$497</oldFormula>
  </rdn>
  <rcv guid="{7C1B4D6D-D666-48DD-AB17-E00791B6F0B6}" action="add"/>
</revisions>
</file>

<file path=xl/revisions/revisionLog5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72" sId="1">
    <nc r="B494">
      <v>127534</v>
    </nc>
  </rcc>
  <rcc rId="5873" sId="1">
    <nc r="A490">
      <v>180</v>
    </nc>
  </rcc>
  <rcc rId="5874" sId="1">
    <nc r="A491">
      <v>181</v>
    </nc>
  </rcc>
  <rcc rId="5875" sId="1">
    <nc r="A492">
      <v>182</v>
    </nc>
  </rcc>
  <rcc rId="5876" sId="1">
    <nc r="A493">
      <v>183</v>
    </nc>
  </rcc>
  <rcc rId="5877" sId="1">
    <nc r="A494">
      <v>184</v>
    </nc>
  </rcc>
  <rcv guid="{36624B2D-80F9-4F79-AC4A-B3547C36F23F}" action="delete"/>
  <rdn rId="0" localSheetId="1" customView="1" name="Z_36624B2D_80F9_4F79_AC4A_B3547C36F23F_.wvu.PrintArea" hidden="1" oldHidden="1">
    <formula>Sheet1!$A$1:$AL$524</formula>
    <oldFormula>Sheet1!$A$1:$AL$524</oldFormula>
  </rdn>
  <rdn rId="0" localSheetId="1" customView="1" name="Z_36624B2D_80F9_4F79_AC4A_B3547C36F23F_.wvu.FilterData" hidden="1" oldHidden="1">
    <formula>Sheet1!$A$1:$DG$498</formula>
    <oldFormula>Sheet1!$A$1:$DG$498</oldFormula>
  </rdn>
  <rcv guid="{36624B2D-80F9-4F79-AC4A-B3547C36F23F}" action="add"/>
</revisions>
</file>

<file path=xl/revisions/revisionLog5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80" sId="1">
    <nc r="C494">
      <v>619</v>
    </nc>
  </rcc>
  <rfmt sheetId="1" sqref="C494" start="0" length="2147483647">
    <dxf>
      <font>
        <b val="0"/>
      </font>
    </dxf>
  </rfmt>
  <rcc rId="5881" sId="1">
    <nc r="D494" t="inlineStr">
      <is>
        <t>ET</t>
      </is>
    </nc>
  </rcc>
</revisions>
</file>

<file path=xl/revisions/revisionLog5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82" sId="1">
    <nc r="E494" t="inlineStr">
      <is>
        <t>AP1/11i /1.1</t>
      </is>
    </nc>
  </rcc>
  <rcc rId="5883" sId="1">
    <nc r="F494" t="inlineStr">
      <is>
        <t>IP12/2018
(MuSMIS: 
POCA/ 399/1/1)</t>
      </is>
    </nc>
  </rcc>
</revisions>
</file>

<file path=xl/revisions/revisionLog5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494" start="0" length="0">
    <dxf>
      <font>
        <sz val="12"/>
        <charset val="1"/>
      </font>
    </dxf>
  </rfmt>
  <rcc rId="5884" sId="1">
    <nc r="G494" t="inlineStr">
      <is>
        <t>Consolidarea mecanismului de coordonare a implementarii Conventiei ONU privind drepturile persoanelor cu dizabilitati</t>
      </is>
    </nc>
  </rcc>
</revisions>
</file>

<file path=xl/revisions/revisionLog5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85" sId="1">
    <nc r="H494" t="inlineStr">
      <is>
        <t>Autoritatea Națională Pentru Persoane cu dizabilitati</t>
      </is>
    </nc>
  </rcc>
</revisions>
</file>

<file path=xl/revisions/revisionLog5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86" sId="1">
    <nc r="I494" t="inlineStr">
      <is>
        <t>n.a.</t>
      </is>
    </nc>
  </rcc>
</revisions>
</file>

<file path=xl/revisions/revisionLog5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87" sId="1">
    <nc r="J494" t="inlineStr">
      <is>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is>
    </nc>
  </rcc>
</revisions>
</file>

<file path=xl/revisions/revisionLog5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88" sId="1" numFmtId="19">
    <nc r="K494">
      <v>43490</v>
    </nc>
  </rcc>
</revisions>
</file>

<file path=xl/revisions/revisionLog5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89" sId="1" numFmtId="19">
    <nc r="L494">
      <v>44372</v>
    </nc>
  </rcc>
</revisions>
</file>

<file path=xl/revisions/revisionLog5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90" sId="1">
    <nc r="N494" t="inlineStr">
      <is>
        <t>Proiect cu acoperire națională</t>
      </is>
    </nc>
  </rcc>
  <rcc rId="5891" sId="1">
    <nc r="O494" t="inlineStr">
      <is>
        <t>București</t>
      </is>
    </nc>
  </rcc>
  <rcc rId="5892" sId="1">
    <nc r="P494" t="inlineStr">
      <is>
        <t>București</t>
      </is>
    </nc>
  </rcc>
  <rcc rId="5893" sId="1">
    <nc r="Q494" t="inlineStr">
      <is>
        <t>APC</t>
      </is>
    </nc>
  </rcc>
</revisions>
</file>

<file path=xl/revisions/revisionLog5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94" sId="1">
    <nc r="R494" t="inlineStr">
      <is>
        <t>119 - Investiții în capacitatea instituțională și în eficiența administrațiilor și a serviciilor publice la nivel național, regional și local, în perspectiva realizării de reforme, a unei mai bune legiferări și a bunei guvernanțe</t>
      </is>
    </nc>
  </rcc>
</revisions>
</file>

<file path=xl/revisions/revisionLog5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95" sId="1" numFmtId="4">
    <nc r="T494">
      <v>6561963.3499999996</v>
    </nc>
  </rcc>
  <rcc rId="5896" sId="1" numFmtId="4">
    <nc r="U494">
      <v>1575262.03</v>
    </nc>
  </rcc>
  <rcc rId="5897" sId="1" numFmtId="4">
    <nc r="W494">
      <v>0</v>
    </nc>
  </rcc>
  <rcc rId="5898" sId="1" numFmtId="4">
    <nc r="X494">
      <v>0</v>
    </nc>
  </rcc>
  <rcc rId="5899" sId="1" numFmtId="4">
    <nc r="Z494">
      <v>1157993.49</v>
    </nc>
  </rcc>
  <rcc rId="5900" sId="1" numFmtId="4">
    <nc r="AA494">
      <v>393815.56</v>
    </nc>
  </rcc>
  <rcc rId="5901" sId="1" numFmtId="4">
    <nc r="AC494">
      <v>0</v>
    </nc>
  </rcc>
  <rcc rId="5902" sId="1" numFmtId="4">
    <nc r="AD494">
      <v>0</v>
    </nc>
  </rcc>
  <rcc rId="5903" sId="1" numFmtId="4">
    <nc r="AF494">
      <v>0</v>
    </nc>
  </rcc>
  <rcc rId="5904" sId="1">
    <nc r="AH494" t="inlineStr">
      <is>
        <t>în implementare</t>
      </is>
    </nc>
  </rcc>
</revisions>
</file>

<file path=xl/revisions/revisionLog5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905" sId="1" ref="A495:XFD495" action="insertRow">
    <undo index="65535" exp="area" ref3D="1" dr="$H$1:$N$1048576" dn="Z_65B035E3_87FA_46C5_996E_864F2C8D0EBC_.wvu.Cols" sId="1"/>
  </rrc>
  <rrc rId="5906" sId="1" ref="A495:XFD495" action="insertRow">
    <undo index="65535" exp="area" ref3D="1" dr="$H$1:$N$1048576" dn="Z_65B035E3_87FA_46C5_996E_864F2C8D0EBC_.wvu.Cols" sId="1"/>
  </rrc>
  <rrc rId="5907" sId="1" ref="A495:XFD497" action="insertRow">
    <undo index="65535" exp="area" ref3D="1" dr="$H$1:$N$1048576" dn="Z_65B035E3_87FA_46C5_996E_864F2C8D0EBC_.wvu.Cols" sId="1"/>
  </rrc>
</revisions>
</file>

<file path=xl/revisions/revisionLog5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Sheet1!$A$1:$AL$529</formula>
    <oldFormula>Sheet1!$A$1:$AL$529</oldFormula>
  </rdn>
  <rdn rId="0" localSheetId="1" customView="1" name="Z_36624B2D_80F9_4F79_AC4A_B3547C36F23F_.wvu.FilterData" hidden="1" oldHidden="1">
    <formula>Sheet1!$A$1:$DG$503</formula>
    <oldFormula>Sheet1!$A$1:$DG$503</oldFormula>
  </rdn>
  <rcv guid="{36624B2D-80F9-4F79-AC4A-B3547C36F23F}" action="add"/>
</revisions>
</file>

<file path=xl/revisions/revisionLog5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00A99CA1_F635_44AE_9E4D_C2CEC4CEF175_.wvu.PrintArea" hidden="1" oldHidden="1">
    <formula>Sheet1!$A$1:$AL$529</formula>
  </rdn>
  <rdn rId="0" localSheetId="1" customView="1" name="Z_00A99CA1_F635_44AE_9E4D_C2CEC4CEF175_.wvu.FilterData" hidden="1" oldHidden="1">
    <formula>Sheet1!$A$1:$DG$503</formula>
  </rdn>
  <rcv guid="{00A99CA1-F635-44AE-9E4D-C2CEC4CEF17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20"/>
  <sheetViews>
    <sheetView tabSelected="1" zoomScale="70" zoomScaleNormal="112" workbookViewId="0">
      <selection activeCell="B160" sqref="B160"/>
    </sheetView>
  </sheetViews>
  <sheetFormatPr defaultColWidth="9.140625" defaultRowHeight="15" x14ac:dyDescent="0.25"/>
  <cols>
    <col min="1" max="1" width="7.42578125" style="1" customWidth="1"/>
    <col min="2" max="2" width="15.140625" style="1" customWidth="1"/>
    <col min="3" max="3" width="8.140625" style="257" customWidth="1"/>
    <col min="4" max="4" width="11.42578125" style="1" customWidth="1"/>
    <col min="5" max="5" width="14.28515625" style="1" customWidth="1"/>
    <col min="6" max="6" width="18.5703125" style="1" customWidth="1"/>
    <col min="7" max="7" width="46.140625" style="258" customWidth="1"/>
    <col min="8" max="8" width="36.5703125" style="258" customWidth="1"/>
    <col min="9" max="9" width="31.28515625" style="10" customWidth="1"/>
    <col min="10" max="10" width="122.7109375" style="1" customWidth="1"/>
    <col min="11" max="11" width="20.5703125" style="10" customWidth="1"/>
    <col min="12" max="12" width="20" style="10" customWidth="1"/>
    <col min="13" max="13" width="24.28515625" style="10" customWidth="1"/>
    <col min="14" max="14" width="24.42578125" style="10" customWidth="1"/>
    <col min="15" max="15" width="31.85546875" style="10" customWidth="1"/>
    <col min="16" max="16" width="15.42578125" style="10" customWidth="1"/>
    <col min="17" max="17" width="17" style="10" customWidth="1"/>
    <col min="18" max="18" width="29.140625" style="10" customWidth="1"/>
    <col min="19" max="21" width="21.85546875" style="9" customWidth="1"/>
    <col min="22" max="22" width="15.5703125" style="9" customWidth="1"/>
    <col min="23" max="23" width="24" style="9" customWidth="1"/>
    <col min="24" max="24" width="15" style="9" customWidth="1"/>
    <col min="25" max="26" width="19.42578125" style="9" customWidth="1"/>
    <col min="27" max="27" width="19.85546875" style="9" customWidth="1"/>
    <col min="28" max="28" width="16.140625" style="9" customWidth="1"/>
    <col min="29" max="29" width="20" style="9" customWidth="1"/>
    <col min="30" max="30" width="13.42578125" style="9" customWidth="1"/>
    <col min="31" max="31" width="29" style="9" customWidth="1"/>
    <col min="32" max="32" width="16" style="9" customWidth="1"/>
    <col min="33" max="33" width="21.85546875" style="9" customWidth="1"/>
    <col min="34" max="34" width="27.7109375" style="9" bestFit="1" customWidth="1"/>
    <col min="35" max="35" width="25" style="181" customWidth="1"/>
    <col min="36" max="36" width="18.28515625" style="9" bestFit="1" customWidth="1"/>
    <col min="37" max="37" width="22.42578125" style="9" bestFit="1" customWidth="1"/>
    <col min="38" max="16384" width="9.140625" style="1"/>
  </cols>
  <sheetData>
    <row r="1" spans="1:37" ht="76.150000000000006" customHeight="1" x14ac:dyDescent="0.25">
      <c r="A1" s="290" t="s">
        <v>0</v>
      </c>
      <c r="B1" s="277" t="s">
        <v>472</v>
      </c>
      <c r="C1" s="297" t="s">
        <v>159</v>
      </c>
      <c r="D1" s="272" t="s">
        <v>160</v>
      </c>
      <c r="E1" s="272" t="s">
        <v>9</v>
      </c>
      <c r="F1" s="272" t="s">
        <v>164</v>
      </c>
      <c r="G1" s="293" t="s">
        <v>1</v>
      </c>
      <c r="H1" s="295" t="s">
        <v>15</v>
      </c>
      <c r="I1" s="274" t="s">
        <v>194</v>
      </c>
      <c r="J1" s="272" t="s">
        <v>17</v>
      </c>
      <c r="K1" s="272" t="s">
        <v>16</v>
      </c>
      <c r="L1" s="272" t="s">
        <v>18</v>
      </c>
      <c r="M1" s="272" t="s">
        <v>19</v>
      </c>
      <c r="N1" s="272" t="s">
        <v>2</v>
      </c>
      <c r="O1" s="272" t="s">
        <v>20</v>
      </c>
      <c r="P1" s="272" t="s">
        <v>3</v>
      </c>
      <c r="Q1" s="272" t="s">
        <v>4</v>
      </c>
      <c r="R1" s="272" t="s">
        <v>21</v>
      </c>
      <c r="S1" s="280" t="s">
        <v>10</v>
      </c>
      <c r="T1" s="281"/>
      <c r="U1" s="281"/>
      <c r="V1" s="281"/>
      <c r="W1" s="281"/>
      <c r="X1" s="281"/>
      <c r="Y1" s="281"/>
      <c r="Z1" s="282"/>
      <c r="AA1" s="282"/>
      <c r="AB1" s="283"/>
      <c r="AC1" s="24"/>
      <c r="AD1" s="24"/>
      <c r="AE1" s="265" t="s">
        <v>158</v>
      </c>
      <c r="AF1" s="260"/>
      <c r="AG1" s="265" t="s">
        <v>5</v>
      </c>
      <c r="AH1" s="270" t="s">
        <v>14</v>
      </c>
      <c r="AI1" s="270" t="s">
        <v>6</v>
      </c>
      <c r="AJ1" s="265" t="s">
        <v>23</v>
      </c>
      <c r="AK1" s="266"/>
    </row>
    <row r="2" spans="1:37" ht="15.75" customHeight="1" x14ac:dyDescent="0.25">
      <c r="A2" s="291"/>
      <c r="B2" s="278"/>
      <c r="C2" s="298"/>
      <c r="D2" s="273"/>
      <c r="E2" s="273"/>
      <c r="F2" s="273"/>
      <c r="G2" s="294"/>
      <c r="H2" s="296"/>
      <c r="I2" s="275"/>
      <c r="J2" s="273"/>
      <c r="K2" s="273"/>
      <c r="L2" s="273"/>
      <c r="M2" s="273"/>
      <c r="N2" s="273"/>
      <c r="O2" s="273"/>
      <c r="P2" s="273"/>
      <c r="Q2" s="273"/>
      <c r="R2" s="273"/>
      <c r="S2" s="284" t="s">
        <v>11</v>
      </c>
      <c r="T2" s="285"/>
      <c r="U2" s="285"/>
      <c r="V2" s="285"/>
      <c r="W2" s="286"/>
      <c r="X2" s="287"/>
      <c r="Y2" s="267" t="s">
        <v>13</v>
      </c>
      <c r="Z2" s="114"/>
      <c r="AA2" s="114"/>
      <c r="AB2" s="268" t="s">
        <v>22</v>
      </c>
      <c r="AC2" s="114"/>
      <c r="AD2" s="114"/>
      <c r="AE2" s="267"/>
      <c r="AF2" s="267" t="s">
        <v>7</v>
      </c>
      <c r="AG2" s="267"/>
      <c r="AH2" s="271"/>
      <c r="AI2" s="271"/>
      <c r="AJ2" s="267" t="s">
        <v>8</v>
      </c>
      <c r="AK2" s="267" t="s">
        <v>24</v>
      </c>
    </row>
    <row r="3" spans="1:37" ht="36.75" customHeight="1" thickBot="1" x14ac:dyDescent="0.3">
      <c r="A3" s="292"/>
      <c r="B3" s="279"/>
      <c r="C3" s="298"/>
      <c r="D3" s="273"/>
      <c r="E3" s="273"/>
      <c r="F3" s="273"/>
      <c r="G3" s="294"/>
      <c r="H3" s="296"/>
      <c r="I3" s="276"/>
      <c r="J3" s="273"/>
      <c r="K3" s="273"/>
      <c r="L3" s="273"/>
      <c r="M3" s="273"/>
      <c r="N3" s="273"/>
      <c r="O3" s="273"/>
      <c r="P3" s="273"/>
      <c r="Q3" s="273"/>
      <c r="R3" s="273"/>
      <c r="S3" s="114" t="s">
        <v>8</v>
      </c>
      <c r="T3" s="114" t="s">
        <v>185</v>
      </c>
      <c r="U3" s="114" t="s">
        <v>184</v>
      </c>
      <c r="V3" s="114" t="s">
        <v>12</v>
      </c>
      <c r="W3" s="114" t="s">
        <v>185</v>
      </c>
      <c r="X3" s="114" t="s">
        <v>184</v>
      </c>
      <c r="Y3" s="267"/>
      <c r="Z3" s="114" t="s">
        <v>185</v>
      </c>
      <c r="AA3" s="114" t="s">
        <v>184</v>
      </c>
      <c r="AB3" s="269"/>
      <c r="AC3" s="114" t="s">
        <v>185</v>
      </c>
      <c r="AD3" s="114" t="s">
        <v>184</v>
      </c>
      <c r="AE3" s="267"/>
      <c r="AF3" s="267"/>
      <c r="AG3" s="267"/>
      <c r="AH3" s="271"/>
      <c r="AI3" s="271"/>
      <c r="AJ3" s="267"/>
      <c r="AK3" s="267"/>
    </row>
    <row r="4" spans="1:37" ht="89.25" customHeight="1" x14ac:dyDescent="0.25">
      <c r="A4" s="299" t="s">
        <v>231</v>
      </c>
      <c r="B4" s="303" t="s">
        <v>473</v>
      </c>
      <c r="C4" s="301" t="s">
        <v>235</v>
      </c>
      <c r="D4" s="301" t="s">
        <v>160</v>
      </c>
      <c r="E4" s="288" t="s">
        <v>232</v>
      </c>
      <c r="F4" s="301" t="s">
        <v>233</v>
      </c>
      <c r="G4" s="288" t="s">
        <v>234</v>
      </c>
      <c r="H4" s="288" t="s">
        <v>236</v>
      </c>
      <c r="I4" s="288" t="s">
        <v>237</v>
      </c>
      <c r="J4" s="288" t="s">
        <v>238</v>
      </c>
      <c r="K4" s="261" t="s">
        <v>239</v>
      </c>
      <c r="L4" s="288" t="s">
        <v>240</v>
      </c>
      <c r="M4" s="288" t="s">
        <v>244</v>
      </c>
      <c r="N4" s="288" t="s">
        <v>241</v>
      </c>
      <c r="O4" s="288" t="s">
        <v>242</v>
      </c>
      <c r="P4" s="288" t="s">
        <v>243</v>
      </c>
      <c r="Q4" s="288" t="s">
        <v>245</v>
      </c>
      <c r="R4" s="288" t="s">
        <v>246</v>
      </c>
      <c r="S4" s="310" t="s">
        <v>247</v>
      </c>
      <c r="T4" s="311"/>
      <c r="U4" s="311"/>
      <c r="V4" s="311"/>
      <c r="W4" s="311"/>
      <c r="X4" s="311"/>
      <c r="Y4" s="311"/>
      <c r="Z4" s="312"/>
      <c r="AA4" s="312"/>
      <c r="AB4" s="313"/>
      <c r="AC4" s="262"/>
      <c r="AD4" s="262"/>
      <c r="AE4" s="308" t="s">
        <v>254</v>
      </c>
      <c r="AF4" s="308" t="s">
        <v>255</v>
      </c>
      <c r="AG4" s="308" t="s">
        <v>256</v>
      </c>
      <c r="AH4" s="304" t="s">
        <v>257</v>
      </c>
      <c r="AI4" s="306" t="s">
        <v>258</v>
      </c>
      <c r="AJ4" s="308" t="s">
        <v>248</v>
      </c>
      <c r="AK4" s="308" t="s">
        <v>259</v>
      </c>
    </row>
    <row r="5" spans="1:37" ht="56.25" customHeight="1" x14ac:dyDescent="0.25">
      <c r="A5" s="300"/>
      <c r="B5" s="289"/>
      <c r="C5" s="302"/>
      <c r="D5" s="302"/>
      <c r="E5" s="289"/>
      <c r="F5" s="302"/>
      <c r="G5" s="289"/>
      <c r="H5" s="289"/>
      <c r="I5" s="289"/>
      <c r="J5" s="289"/>
      <c r="K5" s="263"/>
      <c r="L5" s="289"/>
      <c r="M5" s="289"/>
      <c r="N5" s="289"/>
      <c r="O5" s="289"/>
      <c r="P5" s="289"/>
      <c r="Q5" s="289"/>
      <c r="R5" s="289"/>
      <c r="S5" s="115" t="s">
        <v>248</v>
      </c>
      <c r="T5" s="115" t="s">
        <v>250</v>
      </c>
      <c r="U5" s="115" t="s">
        <v>249</v>
      </c>
      <c r="V5" s="115" t="s">
        <v>251</v>
      </c>
      <c r="W5" s="115" t="s">
        <v>250</v>
      </c>
      <c r="X5" s="115" t="s">
        <v>249</v>
      </c>
      <c r="Y5" s="115" t="s">
        <v>252</v>
      </c>
      <c r="Z5" s="115" t="s">
        <v>250</v>
      </c>
      <c r="AA5" s="115" t="s">
        <v>249</v>
      </c>
      <c r="AB5" s="115" t="s">
        <v>253</v>
      </c>
      <c r="AC5" s="115" t="s">
        <v>250</v>
      </c>
      <c r="AD5" s="115" t="s">
        <v>249</v>
      </c>
      <c r="AE5" s="309"/>
      <c r="AF5" s="309"/>
      <c r="AG5" s="309"/>
      <c r="AH5" s="305"/>
      <c r="AI5" s="307"/>
      <c r="AJ5" s="309"/>
      <c r="AK5" s="309"/>
    </row>
    <row r="6" spans="1:37" ht="15.75" x14ac:dyDescent="0.25">
      <c r="A6" s="55">
        <v>0</v>
      </c>
      <c r="B6" s="81"/>
      <c r="C6" s="118">
        <v>1</v>
      </c>
      <c r="D6" s="112" t="s">
        <v>180</v>
      </c>
      <c r="E6" s="112">
        <v>2</v>
      </c>
      <c r="F6" s="112">
        <v>3</v>
      </c>
      <c r="G6" s="112">
        <v>4</v>
      </c>
      <c r="H6" s="112">
        <v>5</v>
      </c>
      <c r="I6" s="112">
        <v>6</v>
      </c>
      <c r="J6" s="112">
        <v>7</v>
      </c>
      <c r="K6" s="112">
        <v>8</v>
      </c>
      <c r="L6" s="112">
        <v>9</v>
      </c>
      <c r="M6" s="112">
        <v>10</v>
      </c>
      <c r="N6" s="112">
        <v>11</v>
      </c>
      <c r="O6" s="112">
        <v>12</v>
      </c>
      <c r="P6" s="112">
        <v>13</v>
      </c>
      <c r="Q6" s="112">
        <v>14</v>
      </c>
      <c r="R6" s="112">
        <v>15</v>
      </c>
      <c r="S6" s="117">
        <v>16</v>
      </c>
      <c r="T6" s="117"/>
      <c r="U6" s="117"/>
      <c r="V6" s="117">
        <v>17</v>
      </c>
      <c r="W6" s="117"/>
      <c r="X6" s="117"/>
      <c r="Y6" s="117">
        <v>18</v>
      </c>
      <c r="Z6" s="110"/>
      <c r="AA6" s="110"/>
      <c r="AB6" s="117">
        <v>19</v>
      </c>
      <c r="AC6" s="117"/>
      <c r="AD6" s="117"/>
      <c r="AE6" s="110" t="s">
        <v>181</v>
      </c>
      <c r="AF6" s="111">
        <v>20</v>
      </c>
      <c r="AG6" s="111">
        <v>21</v>
      </c>
      <c r="AH6" s="111">
        <v>22</v>
      </c>
      <c r="AI6" s="111">
        <v>23</v>
      </c>
      <c r="AJ6" s="111">
        <v>24</v>
      </c>
      <c r="AK6" s="111">
        <v>25</v>
      </c>
    </row>
    <row r="7" spans="1:37" ht="310.5" customHeight="1" x14ac:dyDescent="0.25">
      <c r="A7" s="5">
        <v>1</v>
      </c>
      <c r="B7" s="67">
        <v>110755</v>
      </c>
      <c r="C7" s="118">
        <v>121</v>
      </c>
      <c r="D7" s="2" t="s">
        <v>178</v>
      </c>
      <c r="E7" s="7" t="s">
        <v>1018</v>
      </c>
      <c r="F7" s="119" t="s">
        <v>366</v>
      </c>
      <c r="G7" s="6" t="s">
        <v>289</v>
      </c>
      <c r="H7" s="6" t="s">
        <v>290</v>
      </c>
      <c r="I7" s="13" t="s">
        <v>187</v>
      </c>
      <c r="J7" s="11" t="s">
        <v>554</v>
      </c>
      <c r="K7" s="104">
        <v>43145</v>
      </c>
      <c r="L7" s="104">
        <v>43630</v>
      </c>
      <c r="M7" s="4">
        <f t="shared" ref="M7:M13" si="0">S7/AE7*100</f>
        <v>84.999999517641427</v>
      </c>
      <c r="N7" s="2">
        <v>7</v>
      </c>
      <c r="O7" s="2" t="s">
        <v>299</v>
      </c>
      <c r="P7" s="2" t="s">
        <v>293</v>
      </c>
      <c r="Q7" s="23" t="s">
        <v>216</v>
      </c>
      <c r="R7" s="13" t="s">
        <v>36</v>
      </c>
      <c r="S7" s="25">
        <f t="shared" ref="S7:S9" si="1">T7+U7</f>
        <v>352434.92</v>
      </c>
      <c r="T7" s="120">
        <v>352434.92</v>
      </c>
      <c r="U7" s="25">
        <v>0</v>
      </c>
      <c r="V7" s="26">
        <f t="shared" ref="V7:V13" si="2">W7+X7</f>
        <v>53844.59</v>
      </c>
      <c r="W7" s="120">
        <v>53844.59</v>
      </c>
      <c r="X7" s="26">
        <v>0</v>
      </c>
      <c r="Y7" s="26">
        <f t="shared" ref="Y7" si="3">Z7+AA7</f>
        <v>8349.81</v>
      </c>
      <c r="Z7" s="120">
        <v>8349.81</v>
      </c>
      <c r="AA7" s="26">
        <v>0</v>
      </c>
      <c r="AB7" s="27">
        <f>AC7+AD7</f>
        <v>0</v>
      </c>
      <c r="AC7" s="27"/>
      <c r="AD7" s="27"/>
      <c r="AE7" s="27">
        <f>S7+V7+Y7+AB7</f>
        <v>414629.32</v>
      </c>
      <c r="AF7" s="27">
        <v>0</v>
      </c>
      <c r="AG7" s="27">
        <f t="shared" ref="AG7:AG13" si="4">AE7+AF7</f>
        <v>414629.32</v>
      </c>
      <c r="AH7" s="28" t="s">
        <v>627</v>
      </c>
      <c r="AI7" s="72" t="s">
        <v>187</v>
      </c>
      <c r="AJ7" s="39">
        <f>18251.2+30807.23</f>
        <v>49058.43</v>
      </c>
      <c r="AK7" s="29">
        <f>2788.4+4706.69</f>
        <v>7495.09</v>
      </c>
    </row>
    <row r="8" spans="1:37" ht="123" customHeight="1" x14ac:dyDescent="0.25">
      <c r="A8" s="2">
        <v>2</v>
      </c>
      <c r="B8" s="2">
        <v>109854</v>
      </c>
      <c r="C8" s="118">
        <v>116</v>
      </c>
      <c r="D8" s="2" t="s">
        <v>174</v>
      </c>
      <c r="E8" s="7" t="s">
        <v>1018</v>
      </c>
      <c r="F8" s="119" t="s">
        <v>366</v>
      </c>
      <c r="G8" s="121" t="s">
        <v>392</v>
      </c>
      <c r="H8" s="6" t="s">
        <v>393</v>
      </c>
      <c r="I8" s="13" t="s">
        <v>393</v>
      </c>
      <c r="J8" s="122" t="s">
        <v>396</v>
      </c>
      <c r="K8" s="104">
        <v>43186</v>
      </c>
      <c r="L8" s="104">
        <v>43551</v>
      </c>
      <c r="M8" s="4">
        <f t="shared" si="0"/>
        <v>85.000000944809514</v>
      </c>
      <c r="N8" s="2">
        <v>7</v>
      </c>
      <c r="O8" s="2" t="s">
        <v>299</v>
      </c>
      <c r="P8" s="2" t="s">
        <v>394</v>
      </c>
      <c r="Q8" s="23" t="s">
        <v>216</v>
      </c>
      <c r="R8" s="2" t="s">
        <v>36</v>
      </c>
      <c r="S8" s="26">
        <f t="shared" si="1"/>
        <v>359860.9</v>
      </c>
      <c r="T8" s="25">
        <v>359860.9</v>
      </c>
      <c r="U8" s="25">
        <v>0</v>
      </c>
      <c r="V8" s="26">
        <f t="shared" si="2"/>
        <v>55037.54</v>
      </c>
      <c r="W8" s="25">
        <v>55037.54</v>
      </c>
      <c r="X8" s="25">
        <v>0</v>
      </c>
      <c r="Y8" s="26">
        <f>Z8+AA8</f>
        <v>8467.32</v>
      </c>
      <c r="Z8" s="25">
        <v>8467.32</v>
      </c>
      <c r="AA8" s="25">
        <v>0</v>
      </c>
      <c r="AB8" s="27">
        <f t="shared" ref="AB8:AB13" si="5">AC8+AD8</f>
        <v>0</v>
      </c>
      <c r="AC8" s="25"/>
      <c r="AD8" s="25"/>
      <c r="AE8" s="25">
        <f>S8+V8+Y8+AB8</f>
        <v>423365.76</v>
      </c>
      <c r="AF8" s="25">
        <v>0</v>
      </c>
      <c r="AG8" s="25">
        <f t="shared" si="4"/>
        <v>423365.76</v>
      </c>
      <c r="AH8" s="28" t="s">
        <v>627</v>
      </c>
      <c r="AI8" s="72" t="s">
        <v>385</v>
      </c>
      <c r="AJ8" s="39">
        <f>21516.9+45941.89</f>
        <v>67458.790000000008</v>
      </c>
      <c r="AK8" s="29">
        <f>3290.82+7026.4</f>
        <v>10317.219999999999</v>
      </c>
    </row>
    <row r="9" spans="1:37" ht="236.25" x14ac:dyDescent="0.25">
      <c r="A9" s="5">
        <v>3</v>
      </c>
      <c r="B9" s="81">
        <v>119560</v>
      </c>
      <c r="C9" s="118">
        <v>471</v>
      </c>
      <c r="D9" s="2" t="s">
        <v>178</v>
      </c>
      <c r="E9" s="13" t="s">
        <v>1093</v>
      </c>
      <c r="F9" s="119" t="s">
        <v>584</v>
      </c>
      <c r="G9" s="7" t="s">
        <v>650</v>
      </c>
      <c r="H9" s="7" t="s">
        <v>649</v>
      </c>
      <c r="I9" s="13" t="s">
        <v>373</v>
      </c>
      <c r="J9" s="7" t="s">
        <v>651</v>
      </c>
      <c r="K9" s="8">
        <v>43265</v>
      </c>
      <c r="L9" s="8">
        <v>43752</v>
      </c>
      <c r="M9" s="4">
        <f t="shared" si="0"/>
        <v>84.216178284166972</v>
      </c>
      <c r="N9" s="2">
        <v>7</v>
      </c>
      <c r="O9" s="2" t="s">
        <v>299</v>
      </c>
      <c r="P9" s="2" t="s">
        <v>652</v>
      </c>
      <c r="Q9" s="23" t="s">
        <v>216</v>
      </c>
      <c r="R9" s="2" t="s">
        <v>36</v>
      </c>
      <c r="S9" s="26">
        <f t="shared" si="1"/>
        <v>336316.07</v>
      </c>
      <c r="T9" s="25">
        <v>336316.07</v>
      </c>
      <c r="U9" s="25">
        <v>0</v>
      </c>
      <c r="V9" s="26">
        <f t="shared" si="2"/>
        <v>55045.45</v>
      </c>
      <c r="W9" s="25">
        <v>55045.45</v>
      </c>
      <c r="X9" s="25">
        <v>0</v>
      </c>
      <c r="Y9" s="26">
        <f t="shared" ref="Y9:Y13" si="6">Z9+AA9</f>
        <v>7987.01</v>
      </c>
      <c r="Z9" s="25">
        <v>7987.01</v>
      </c>
      <c r="AA9" s="25">
        <v>0</v>
      </c>
      <c r="AB9" s="27">
        <f t="shared" si="5"/>
        <v>0</v>
      </c>
      <c r="AC9" s="25">
        <v>0</v>
      </c>
      <c r="AD9" s="25">
        <v>0</v>
      </c>
      <c r="AE9" s="25">
        <f t="shared" ref="AE9:AE13" si="7">S9+V9+Y9</f>
        <v>399348.53</v>
      </c>
      <c r="AF9" s="25"/>
      <c r="AG9" s="25">
        <f t="shared" si="4"/>
        <v>399348.53</v>
      </c>
      <c r="AH9" s="28" t="s">
        <v>627</v>
      </c>
      <c r="AI9" s="72" t="s">
        <v>385</v>
      </c>
      <c r="AJ9" s="39">
        <f>49080.06+14949.98</f>
        <v>64030.039999999994</v>
      </c>
      <c r="AK9" s="29">
        <f>3856+2638.23</f>
        <v>6494.23</v>
      </c>
    </row>
    <row r="10" spans="1:37" ht="141.75" x14ac:dyDescent="0.25">
      <c r="A10" s="5">
        <v>4</v>
      </c>
      <c r="B10" s="81">
        <v>117934</v>
      </c>
      <c r="C10" s="118">
        <v>417</v>
      </c>
      <c r="D10" s="112" t="s">
        <v>643</v>
      </c>
      <c r="E10" s="7" t="s">
        <v>748</v>
      </c>
      <c r="F10" s="119" t="s">
        <v>653</v>
      </c>
      <c r="G10" s="7" t="s">
        <v>702</v>
      </c>
      <c r="H10" s="7" t="s">
        <v>649</v>
      </c>
      <c r="I10" s="112" t="s">
        <v>187</v>
      </c>
      <c r="J10" s="7" t="s">
        <v>703</v>
      </c>
      <c r="K10" s="8">
        <v>43275</v>
      </c>
      <c r="L10" s="8">
        <v>43765</v>
      </c>
      <c r="M10" s="4">
        <f t="shared" si="0"/>
        <v>84.999998780098935</v>
      </c>
      <c r="N10" s="2">
        <v>7</v>
      </c>
      <c r="O10" s="2" t="s">
        <v>299</v>
      </c>
      <c r="P10" s="2" t="s">
        <v>652</v>
      </c>
      <c r="Q10" s="23" t="s">
        <v>216</v>
      </c>
      <c r="R10" s="2" t="s">
        <v>36</v>
      </c>
      <c r="S10" s="26">
        <f>T10+U10</f>
        <v>243872.23</v>
      </c>
      <c r="T10" s="25">
        <v>243872.23</v>
      </c>
      <c r="U10" s="25">
        <v>0</v>
      </c>
      <c r="V10" s="26">
        <f t="shared" si="2"/>
        <v>37298.080000000002</v>
      </c>
      <c r="W10" s="25">
        <v>37298.080000000002</v>
      </c>
      <c r="X10" s="25">
        <v>0</v>
      </c>
      <c r="Y10" s="26">
        <f t="shared" si="6"/>
        <v>5738.2</v>
      </c>
      <c r="Z10" s="25">
        <v>5738.2</v>
      </c>
      <c r="AA10" s="25">
        <v>0</v>
      </c>
      <c r="AB10" s="27">
        <f t="shared" si="5"/>
        <v>0</v>
      </c>
      <c r="AC10" s="33">
        <v>0</v>
      </c>
      <c r="AD10" s="33">
        <v>0</v>
      </c>
      <c r="AE10" s="25">
        <f t="shared" si="7"/>
        <v>286908.51</v>
      </c>
      <c r="AF10" s="25">
        <v>0</v>
      </c>
      <c r="AG10" s="25">
        <f t="shared" si="4"/>
        <v>286908.51</v>
      </c>
      <c r="AH10" s="28" t="s">
        <v>627</v>
      </c>
      <c r="AI10" s="32"/>
      <c r="AJ10" s="25">
        <f>25442.69+26921.69</f>
        <v>52364.38</v>
      </c>
      <c r="AK10" s="25">
        <f>3248.16+4760.51</f>
        <v>8008.67</v>
      </c>
    </row>
    <row r="11" spans="1:37" ht="230.25" customHeight="1" x14ac:dyDescent="0.25">
      <c r="A11" s="2">
        <v>5</v>
      </c>
      <c r="B11" s="123">
        <v>118740</v>
      </c>
      <c r="C11" s="13">
        <v>436</v>
      </c>
      <c r="D11" s="13" t="s">
        <v>178</v>
      </c>
      <c r="E11" s="7" t="s">
        <v>748</v>
      </c>
      <c r="F11" s="119" t="s">
        <v>653</v>
      </c>
      <c r="G11" s="68" t="s">
        <v>955</v>
      </c>
      <c r="H11" s="13" t="s">
        <v>290</v>
      </c>
      <c r="I11" s="112" t="s">
        <v>187</v>
      </c>
      <c r="J11" s="7" t="s">
        <v>957</v>
      </c>
      <c r="K11" s="8">
        <v>43321</v>
      </c>
      <c r="L11" s="8">
        <v>43808</v>
      </c>
      <c r="M11" s="4">
        <f t="shared" si="0"/>
        <v>85.000000362805537</v>
      </c>
      <c r="N11" s="2">
        <v>7</v>
      </c>
      <c r="O11" s="2" t="s">
        <v>299</v>
      </c>
      <c r="P11" s="2" t="s">
        <v>293</v>
      </c>
      <c r="Q11" s="23" t="s">
        <v>216</v>
      </c>
      <c r="R11" s="2" t="s">
        <v>36</v>
      </c>
      <c r="S11" s="26">
        <f t="shared" ref="S11:S13" si="8">T11+U11</f>
        <v>234285.28</v>
      </c>
      <c r="T11" s="25">
        <v>234285.28</v>
      </c>
      <c r="U11" s="25">
        <v>0</v>
      </c>
      <c r="V11" s="26">
        <f t="shared" si="2"/>
        <v>35831.870000000003</v>
      </c>
      <c r="W11" s="25">
        <v>35831.870000000003</v>
      </c>
      <c r="X11" s="25"/>
      <c r="Y11" s="26">
        <f t="shared" si="6"/>
        <v>5512.59</v>
      </c>
      <c r="Z11" s="25">
        <v>5512.59</v>
      </c>
      <c r="AA11" s="25">
        <v>0</v>
      </c>
      <c r="AB11" s="27">
        <f t="shared" si="5"/>
        <v>0</v>
      </c>
      <c r="AC11" s="33">
        <v>0</v>
      </c>
      <c r="AD11" s="33">
        <v>0</v>
      </c>
      <c r="AE11" s="25">
        <f t="shared" si="7"/>
        <v>275629.74000000005</v>
      </c>
      <c r="AF11" s="25"/>
      <c r="AG11" s="25">
        <f t="shared" si="4"/>
        <v>275629.74000000005</v>
      </c>
      <c r="AH11" s="28" t="s">
        <v>627</v>
      </c>
      <c r="AI11" s="32"/>
      <c r="AJ11" s="25">
        <v>11570.2</v>
      </c>
      <c r="AK11" s="25">
        <v>1769.56</v>
      </c>
    </row>
    <row r="12" spans="1:37" ht="219.6" customHeight="1" x14ac:dyDescent="0.25">
      <c r="A12" s="5">
        <v>6</v>
      </c>
      <c r="B12" s="123">
        <v>119862</v>
      </c>
      <c r="C12" s="13">
        <v>483</v>
      </c>
      <c r="D12" s="13" t="s">
        <v>741</v>
      </c>
      <c r="E12" s="13" t="s">
        <v>1093</v>
      </c>
      <c r="F12" s="13" t="s">
        <v>584</v>
      </c>
      <c r="G12" s="68" t="s">
        <v>979</v>
      </c>
      <c r="H12" s="13" t="s">
        <v>980</v>
      </c>
      <c r="I12" s="112" t="s">
        <v>187</v>
      </c>
      <c r="J12" s="7" t="s">
        <v>981</v>
      </c>
      <c r="K12" s="8">
        <v>43325</v>
      </c>
      <c r="L12" s="8">
        <v>43629</v>
      </c>
      <c r="M12" s="4">
        <f t="shared" si="0"/>
        <v>84.999998288155666</v>
      </c>
      <c r="N12" s="2">
        <v>7</v>
      </c>
      <c r="O12" s="2" t="s">
        <v>982</v>
      </c>
      <c r="P12" s="2" t="s">
        <v>983</v>
      </c>
      <c r="Q12" s="23" t="s">
        <v>216</v>
      </c>
      <c r="R12" s="2" t="s">
        <v>36</v>
      </c>
      <c r="S12" s="26">
        <f t="shared" si="8"/>
        <v>223443.21</v>
      </c>
      <c r="T12" s="25">
        <v>223443.21</v>
      </c>
      <c r="U12" s="25">
        <v>0</v>
      </c>
      <c r="V12" s="26">
        <f t="shared" si="2"/>
        <v>34173.67</v>
      </c>
      <c r="W12" s="25">
        <v>34173.67</v>
      </c>
      <c r="X12" s="25">
        <v>0</v>
      </c>
      <c r="Y12" s="26">
        <f t="shared" si="6"/>
        <v>5257.4900000000007</v>
      </c>
      <c r="Z12" s="25">
        <v>5257.4900000000007</v>
      </c>
      <c r="AA12" s="25">
        <v>0</v>
      </c>
      <c r="AB12" s="27">
        <f t="shared" si="5"/>
        <v>0</v>
      </c>
      <c r="AC12" s="93">
        <v>0</v>
      </c>
      <c r="AD12" s="93">
        <v>0</v>
      </c>
      <c r="AE12" s="25">
        <f t="shared" si="7"/>
        <v>262874.37</v>
      </c>
      <c r="AF12" s="25"/>
      <c r="AG12" s="25">
        <f t="shared" si="4"/>
        <v>262874.37</v>
      </c>
      <c r="AH12" s="28" t="s">
        <v>920</v>
      </c>
      <c r="AI12" s="32"/>
      <c r="AJ12" s="77">
        <f>24006.26+36929.64</f>
        <v>60935.899999999994</v>
      </c>
      <c r="AK12" s="39">
        <f>3671.55+5648.06</f>
        <v>9319.61</v>
      </c>
    </row>
    <row r="13" spans="1:37" ht="219.6" customHeight="1" x14ac:dyDescent="0.25">
      <c r="A13" s="5">
        <v>7</v>
      </c>
      <c r="B13" s="123">
        <v>126492</v>
      </c>
      <c r="C13" s="13">
        <v>568</v>
      </c>
      <c r="D13" s="13" t="s">
        <v>178</v>
      </c>
      <c r="E13" s="13" t="s">
        <v>1093</v>
      </c>
      <c r="F13" s="13" t="s">
        <v>1191</v>
      </c>
      <c r="G13" s="68" t="s">
        <v>1277</v>
      </c>
      <c r="H13" s="13" t="s">
        <v>1278</v>
      </c>
      <c r="I13" s="112" t="s">
        <v>187</v>
      </c>
      <c r="J13" s="7" t="s">
        <v>1279</v>
      </c>
      <c r="K13" s="8">
        <v>43462</v>
      </c>
      <c r="L13" s="8">
        <v>44132</v>
      </c>
      <c r="M13" s="4">
        <f t="shared" si="0"/>
        <v>85.000000278232704</v>
      </c>
      <c r="N13" s="2">
        <v>7</v>
      </c>
      <c r="O13" s="2" t="s">
        <v>982</v>
      </c>
      <c r="P13" s="2" t="s">
        <v>394</v>
      </c>
      <c r="Q13" s="23" t="s">
        <v>216</v>
      </c>
      <c r="R13" s="2" t="s">
        <v>1216</v>
      </c>
      <c r="S13" s="26">
        <f t="shared" si="8"/>
        <v>1221998.73</v>
      </c>
      <c r="T13" s="25">
        <v>1221998.73</v>
      </c>
      <c r="U13" s="25">
        <v>0</v>
      </c>
      <c r="V13" s="26">
        <f t="shared" si="2"/>
        <v>186893.92</v>
      </c>
      <c r="W13" s="25">
        <v>186893.92</v>
      </c>
      <c r="X13" s="25">
        <v>0</v>
      </c>
      <c r="Y13" s="26">
        <f t="shared" si="6"/>
        <v>28752.91</v>
      </c>
      <c r="Z13" s="25">
        <v>28752.91</v>
      </c>
      <c r="AA13" s="25">
        <v>0</v>
      </c>
      <c r="AB13" s="27">
        <f t="shared" si="5"/>
        <v>0</v>
      </c>
      <c r="AC13" s="93">
        <v>0</v>
      </c>
      <c r="AD13" s="93">
        <v>0</v>
      </c>
      <c r="AE13" s="25">
        <f t="shared" si="7"/>
        <v>1437645.5599999998</v>
      </c>
      <c r="AF13" s="25"/>
      <c r="AG13" s="25">
        <f t="shared" si="4"/>
        <v>1437645.5599999998</v>
      </c>
      <c r="AH13" s="28" t="s">
        <v>627</v>
      </c>
      <c r="AI13" s="32"/>
      <c r="AJ13" s="77">
        <v>0</v>
      </c>
      <c r="AK13" s="39">
        <v>0</v>
      </c>
    </row>
    <row r="14" spans="1:37" ht="157.5" x14ac:dyDescent="0.25">
      <c r="A14" s="2">
        <v>8</v>
      </c>
      <c r="B14" s="67">
        <v>120637</v>
      </c>
      <c r="C14" s="118">
        <v>86</v>
      </c>
      <c r="D14" s="2" t="s">
        <v>177</v>
      </c>
      <c r="E14" s="7" t="s">
        <v>1018</v>
      </c>
      <c r="F14" s="119" t="s">
        <v>366</v>
      </c>
      <c r="G14" s="6" t="s">
        <v>306</v>
      </c>
      <c r="H14" s="6" t="s">
        <v>307</v>
      </c>
      <c r="I14" s="2" t="s">
        <v>187</v>
      </c>
      <c r="J14" s="3" t="s">
        <v>956</v>
      </c>
      <c r="K14" s="104">
        <v>43145</v>
      </c>
      <c r="L14" s="104">
        <v>43510</v>
      </c>
      <c r="M14" s="4">
        <f t="shared" ref="M14:M16" si="9">S14/AE14*100</f>
        <v>85.000001183738732</v>
      </c>
      <c r="N14" s="2">
        <v>5</v>
      </c>
      <c r="O14" s="2" t="s">
        <v>308</v>
      </c>
      <c r="P14" s="2" t="s">
        <v>308</v>
      </c>
      <c r="Q14" s="18" t="s">
        <v>216</v>
      </c>
      <c r="R14" s="2" t="s">
        <v>36</v>
      </c>
      <c r="S14" s="25">
        <f t="shared" ref="S14:S16" si="10">T14+U14</f>
        <v>359031.93</v>
      </c>
      <c r="T14" s="120">
        <v>359031.93</v>
      </c>
      <c r="U14" s="25">
        <v>0</v>
      </c>
      <c r="V14" s="25">
        <f t="shared" ref="V14:V16" si="11">W14+X14</f>
        <v>54910.76</v>
      </c>
      <c r="W14" s="25">
        <v>54910.76</v>
      </c>
      <c r="X14" s="25">
        <v>0</v>
      </c>
      <c r="Y14" s="25">
        <f t="shared" ref="Y14:Y16" si="12">Z14+AA14</f>
        <v>8447.81</v>
      </c>
      <c r="Z14" s="25">
        <v>8447.81</v>
      </c>
      <c r="AA14" s="25">
        <v>0</v>
      </c>
      <c r="AB14" s="25">
        <f>AC14+AD14</f>
        <v>0</v>
      </c>
      <c r="AC14" s="25"/>
      <c r="AD14" s="25"/>
      <c r="AE14" s="25">
        <f>S14+V14+Y14+AB14</f>
        <v>422390.5</v>
      </c>
      <c r="AF14" s="25">
        <v>0</v>
      </c>
      <c r="AG14" s="25">
        <f t="shared" ref="AG14:AG16" si="13">AE14+AF14</f>
        <v>422390.5</v>
      </c>
      <c r="AH14" s="28" t="s">
        <v>627</v>
      </c>
      <c r="AI14" s="72" t="s">
        <v>187</v>
      </c>
      <c r="AJ14" s="39">
        <f>50.58+71118.57</f>
        <v>71169.150000000009</v>
      </c>
      <c r="AK14" s="29">
        <f>7.73+10876.95</f>
        <v>10884.68</v>
      </c>
    </row>
    <row r="15" spans="1:37" ht="141.75" x14ac:dyDescent="0.25">
      <c r="A15" s="5">
        <v>9</v>
      </c>
      <c r="B15" s="67">
        <v>119520</v>
      </c>
      <c r="C15" s="67">
        <v>465</v>
      </c>
      <c r="D15" s="67" t="s">
        <v>727</v>
      </c>
      <c r="E15" s="13" t="s">
        <v>1093</v>
      </c>
      <c r="F15" s="7" t="s">
        <v>584</v>
      </c>
      <c r="G15" s="7" t="s">
        <v>803</v>
      </c>
      <c r="H15" s="7" t="s">
        <v>804</v>
      </c>
      <c r="I15" s="13" t="s">
        <v>805</v>
      </c>
      <c r="J15" s="7" t="s">
        <v>806</v>
      </c>
      <c r="K15" s="8">
        <v>43292</v>
      </c>
      <c r="L15" s="8">
        <v>43780</v>
      </c>
      <c r="M15" s="4">
        <f t="shared" si="9"/>
        <v>85.000001465751467</v>
      </c>
      <c r="N15" s="112">
        <v>5</v>
      </c>
      <c r="O15" s="2" t="s">
        <v>308</v>
      </c>
      <c r="P15" s="2" t="s">
        <v>308</v>
      </c>
      <c r="Q15" s="112" t="s">
        <v>216</v>
      </c>
      <c r="R15" s="2" t="s">
        <v>36</v>
      </c>
      <c r="S15" s="25">
        <f t="shared" si="10"/>
        <v>231962.93</v>
      </c>
      <c r="T15" s="29">
        <v>231962.93</v>
      </c>
      <c r="U15" s="124">
        <v>0</v>
      </c>
      <c r="V15" s="25">
        <f t="shared" si="11"/>
        <v>35476.67</v>
      </c>
      <c r="W15" s="29">
        <v>35476.67</v>
      </c>
      <c r="X15" s="124">
        <v>0</v>
      </c>
      <c r="Y15" s="25">
        <f t="shared" si="12"/>
        <v>5457.96</v>
      </c>
      <c r="Z15" s="29">
        <v>5457.96</v>
      </c>
      <c r="AA15" s="29">
        <v>0</v>
      </c>
      <c r="AB15" s="25">
        <f t="shared" ref="AB15:AB16" si="14">AC15+AD15</f>
        <v>0</v>
      </c>
      <c r="AC15" s="93">
        <v>0</v>
      </c>
      <c r="AD15" s="93">
        <v>0</v>
      </c>
      <c r="AE15" s="25">
        <f t="shared" ref="AE15:AE16" si="15">S15+V15+Y15+AB15</f>
        <v>272897.56</v>
      </c>
      <c r="AF15" s="32">
        <v>0</v>
      </c>
      <c r="AG15" s="25">
        <f t="shared" si="13"/>
        <v>272897.56</v>
      </c>
      <c r="AH15" s="28" t="s">
        <v>627</v>
      </c>
      <c r="AI15" s="32" t="s">
        <v>187</v>
      </c>
      <c r="AJ15" s="39">
        <v>24243.73</v>
      </c>
      <c r="AK15" s="29">
        <v>3707.87</v>
      </c>
    </row>
    <row r="16" spans="1:37" s="126" customFormat="1" ht="141.75" x14ac:dyDescent="0.25">
      <c r="A16" s="5">
        <v>10</v>
      </c>
      <c r="B16" s="123">
        <v>116692</v>
      </c>
      <c r="C16" s="13">
        <v>408</v>
      </c>
      <c r="D16" s="13" t="s">
        <v>892</v>
      </c>
      <c r="E16" s="7" t="s">
        <v>748</v>
      </c>
      <c r="F16" s="7" t="s">
        <v>653</v>
      </c>
      <c r="G16" s="7" t="s">
        <v>958</v>
      </c>
      <c r="H16" s="13" t="s">
        <v>804</v>
      </c>
      <c r="I16" s="13" t="s">
        <v>187</v>
      </c>
      <c r="J16" s="125" t="s">
        <v>959</v>
      </c>
      <c r="K16" s="8">
        <v>43321</v>
      </c>
      <c r="L16" s="8">
        <v>43720</v>
      </c>
      <c r="M16" s="16">
        <f t="shared" si="9"/>
        <v>85.000000534892237</v>
      </c>
      <c r="N16" s="13">
        <v>5</v>
      </c>
      <c r="O16" s="2" t="s">
        <v>308</v>
      </c>
      <c r="P16" s="2" t="s">
        <v>308</v>
      </c>
      <c r="Q16" s="112" t="s">
        <v>216</v>
      </c>
      <c r="R16" s="2" t="s">
        <v>36</v>
      </c>
      <c r="S16" s="27">
        <f t="shared" si="10"/>
        <v>317821.02</v>
      </c>
      <c r="T16" s="39">
        <v>317821.02</v>
      </c>
      <c r="U16" s="74">
        <v>0</v>
      </c>
      <c r="V16" s="27">
        <f t="shared" si="11"/>
        <v>48607.91</v>
      </c>
      <c r="W16" s="39">
        <v>48607.91</v>
      </c>
      <c r="X16" s="74">
        <v>0</v>
      </c>
      <c r="Y16" s="27">
        <f t="shared" si="12"/>
        <v>7478.15</v>
      </c>
      <c r="Z16" s="39">
        <v>7478.15</v>
      </c>
      <c r="AA16" s="39">
        <v>0</v>
      </c>
      <c r="AB16" s="27">
        <f t="shared" si="14"/>
        <v>0</v>
      </c>
      <c r="AC16" s="93">
        <v>0</v>
      </c>
      <c r="AD16" s="93">
        <v>0</v>
      </c>
      <c r="AE16" s="27">
        <f t="shared" si="15"/>
        <v>373907.08000000007</v>
      </c>
      <c r="AF16" s="28">
        <v>0</v>
      </c>
      <c r="AG16" s="27">
        <f t="shared" si="13"/>
        <v>373907.08000000007</v>
      </c>
      <c r="AH16" s="28" t="s">
        <v>627</v>
      </c>
      <c r="AI16" s="32" t="s">
        <v>187</v>
      </c>
      <c r="AJ16" s="39">
        <v>8730.06</v>
      </c>
      <c r="AK16" s="39">
        <v>1335.19</v>
      </c>
    </row>
    <row r="17" spans="1:37" ht="141.75" x14ac:dyDescent="0.25">
      <c r="A17" s="2">
        <v>11</v>
      </c>
      <c r="B17" s="67">
        <v>120652</v>
      </c>
      <c r="C17" s="118">
        <v>91</v>
      </c>
      <c r="D17" s="2" t="s">
        <v>174</v>
      </c>
      <c r="E17" s="7" t="s">
        <v>1018</v>
      </c>
      <c r="F17" s="119" t="s">
        <v>366</v>
      </c>
      <c r="G17" s="6" t="s">
        <v>273</v>
      </c>
      <c r="H17" s="6" t="s">
        <v>278</v>
      </c>
      <c r="I17" s="2" t="s">
        <v>187</v>
      </c>
      <c r="J17" s="3" t="s">
        <v>279</v>
      </c>
      <c r="K17" s="104">
        <v>43145</v>
      </c>
      <c r="L17" s="104">
        <v>43510</v>
      </c>
      <c r="M17" s="4">
        <f t="shared" ref="M17:M24" si="16">S17/AE17*100</f>
        <v>84.999999389755786</v>
      </c>
      <c r="N17" s="2">
        <v>3</v>
      </c>
      <c r="O17" s="2" t="s">
        <v>275</v>
      </c>
      <c r="P17" s="2" t="s">
        <v>277</v>
      </c>
      <c r="Q17" s="18" t="s">
        <v>216</v>
      </c>
      <c r="R17" s="2" t="s">
        <v>36</v>
      </c>
      <c r="S17" s="25">
        <f t="shared" ref="S17:S18" si="17">T17+U17</f>
        <v>348221.24</v>
      </c>
      <c r="T17" s="25">
        <v>348221.24</v>
      </c>
      <c r="U17" s="25">
        <v>0</v>
      </c>
      <c r="V17" s="25">
        <f t="shared" ref="V17:V24" si="18">W17+X17</f>
        <v>53257.37</v>
      </c>
      <c r="W17" s="25">
        <v>53257.37</v>
      </c>
      <c r="X17" s="25">
        <v>0</v>
      </c>
      <c r="Y17" s="25">
        <f t="shared" ref="Y17:Y24" si="19">Z17+AA17</f>
        <v>8193.44</v>
      </c>
      <c r="Z17" s="25">
        <v>8193.44</v>
      </c>
      <c r="AA17" s="25">
        <v>0</v>
      </c>
      <c r="AB17" s="25">
        <f>AC17+AD17</f>
        <v>0</v>
      </c>
      <c r="AC17" s="25"/>
      <c r="AD17" s="25"/>
      <c r="AE17" s="25">
        <f>S17+V17+Y17+AB17</f>
        <v>409672.05</v>
      </c>
      <c r="AF17" s="25">
        <v>0</v>
      </c>
      <c r="AG17" s="25">
        <f t="shared" ref="AG17:AG24" si="20">AE17+AF17</f>
        <v>409672.05</v>
      </c>
      <c r="AH17" s="28" t="s">
        <v>627</v>
      </c>
      <c r="AI17" s="72" t="s">
        <v>1182</v>
      </c>
      <c r="AJ17" s="39">
        <f>12919.73+21747.25+49513.87-529.62+197106.06</f>
        <v>280757.29000000004</v>
      </c>
      <c r="AK17" s="34">
        <f>12122.18+529.62+30287.56</f>
        <v>42939.360000000001</v>
      </c>
    </row>
    <row r="18" spans="1:37" ht="220.5" x14ac:dyDescent="0.25">
      <c r="A18" s="5">
        <v>12</v>
      </c>
      <c r="B18" s="67">
        <v>120730</v>
      </c>
      <c r="C18" s="118">
        <v>92</v>
      </c>
      <c r="D18" s="2" t="s">
        <v>174</v>
      </c>
      <c r="E18" s="7" t="s">
        <v>1018</v>
      </c>
      <c r="F18" s="119" t="s">
        <v>366</v>
      </c>
      <c r="G18" s="6" t="s">
        <v>272</v>
      </c>
      <c r="H18" s="6" t="s">
        <v>271</v>
      </c>
      <c r="I18" s="13" t="s">
        <v>187</v>
      </c>
      <c r="J18" s="11" t="s">
        <v>274</v>
      </c>
      <c r="K18" s="104">
        <v>43145</v>
      </c>
      <c r="L18" s="104">
        <v>43630</v>
      </c>
      <c r="M18" s="4">
        <f t="shared" si="16"/>
        <v>85.000000355065879</v>
      </c>
      <c r="N18" s="2">
        <v>2</v>
      </c>
      <c r="O18" s="2" t="s">
        <v>1155</v>
      </c>
      <c r="P18" s="2" t="s">
        <v>1297</v>
      </c>
      <c r="Q18" s="23" t="s">
        <v>216</v>
      </c>
      <c r="R18" s="13" t="s">
        <v>36</v>
      </c>
      <c r="S18" s="25">
        <f t="shared" si="17"/>
        <v>359088.29</v>
      </c>
      <c r="T18" s="25">
        <v>359088.29</v>
      </c>
      <c r="U18" s="25">
        <v>0</v>
      </c>
      <c r="V18" s="25">
        <f t="shared" si="18"/>
        <v>54919.39</v>
      </c>
      <c r="W18" s="25">
        <v>54919.39</v>
      </c>
      <c r="X18" s="25">
        <v>0</v>
      </c>
      <c r="Y18" s="25">
        <f t="shared" si="19"/>
        <v>8449.1299999999992</v>
      </c>
      <c r="Z18" s="25">
        <v>8449.1299999999992</v>
      </c>
      <c r="AA18" s="25">
        <v>0</v>
      </c>
      <c r="AB18" s="25">
        <f t="shared" ref="AB18:AB26" si="21">AC18+AD18</f>
        <v>0</v>
      </c>
      <c r="AC18" s="25"/>
      <c r="AD18" s="25"/>
      <c r="AE18" s="25">
        <f>S18+V18+Y18+AB18</f>
        <v>422456.81</v>
      </c>
      <c r="AF18" s="25">
        <v>66435.22</v>
      </c>
      <c r="AG18" s="25">
        <f t="shared" si="20"/>
        <v>488892.03</v>
      </c>
      <c r="AH18" s="28" t="s">
        <v>627</v>
      </c>
      <c r="AI18" s="72" t="s">
        <v>187</v>
      </c>
      <c r="AJ18" s="39">
        <f>61496.4+125218.28</f>
        <v>186714.68</v>
      </c>
      <c r="AK18" s="29">
        <f>9405.33+19151.03</f>
        <v>28556.36</v>
      </c>
    </row>
    <row r="19" spans="1:37" ht="141.75" x14ac:dyDescent="0.25">
      <c r="A19" s="5">
        <v>13</v>
      </c>
      <c r="B19" s="67">
        <v>118191</v>
      </c>
      <c r="C19" s="118">
        <v>423</v>
      </c>
      <c r="D19" s="2" t="s">
        <v>741</v>
      </c>
      <c r="E19" s="7" t="s">
        <v>748</v>
      </c>
      <c r="F19" s="119" t="s">
        <v>653</v>
      </c>
      <c r="G19" s="6" t="s">
        <v>742</v>
      </c>
      <c r="H19" s="7" t="s">
        <v>743</v>
      </c>
      <c r="I19" s="13"/>
      <c r="J19" s="11" t="s">
        <v>744</v>
      </c>
      <c r="K19" s="104">
        <v>43284</v>
      </c>
      <c r="L19" s="104">
        <v>43649</v>
      </c>
      <c r="M19" s="4">
        <f t="shared" si="16"/>
        <v>85.000001358659858</v>
      </c>
      <c r="N19" s="2">
        <v>3</v>
      </c>
      <c r="O19" s="2" t="s">
        <v>275</v>
      </c>
      <c r="P19" s="2" t="s">
        <v>277</v>
      </c>
      <c r="Q19" s="23" t="s">
        <v>216</v>
      </c>
      <c r="R19" s="13" t="s">
        <v>36</v>
      </c>
      <c r="S19" s="12">
        <v>250246.6</v>
      </c>
      <c r="T19" s="39">
        <v>250246.6</v>
      </c>
      <c r="U19" s="25">
        <v>0</v>
      </c>
      <c r="V19" s="12">
        <f t="shared" si="18"/>
        <v>38273</v>
      </c>
      <c r="W19" s="127">
        <v>38273</v>
      </c>
      <c r="X19" s="25">
        <v>0</v>
      </c>
      <c r="Y19" s="12">
        <v>5888.16</v>
      </c>
      <c r="Z19" s="25">
        <v>5888.16</v>
      </c>
      <c r="AA19" s="25">
        <v>0</v>
      </c>
      <c r="AB19" s="25">
        <f t="shared" si="21"/>
        <v>0</v>
      </c>
      <c r="AC19" s="25">
        <v>0</v>
      </c>
      <c r="AD19" s="25">
        <v>0</v>
      </c>
      <c r="AE19" s="25">
        <f>S19+V19+Y19</f>
        <v>294407.75999999995</v>
      </c>
      <c r="AF19" s="25"/>
      <c r="AG19" s="25">
        <f t="shared" si="20"/>
        <v>294407.75999999995</v>
      </c>
      <c r="AH19" s="28" t="s">
        <v>627</v>
      </c>
      <c r="AI19" s="37" t="s">
        <v>187</v>
      </c>
      <c r="AJ19" s="31">
        <v>36499</v>
      </c>
      <c r="AK19" s="29">
        <v>5582.2</v>
      </c>
    </row>
    <row r="20" spans="1:37" ht="141.75" x14ac:dyDescent="0.25">
      <c r="A20" s="2">
        <v>14</v>
      </c>
      <c r="B20" s="81">
        <v>118741</v>
      </c>
      <c r="C20" s="118">
        <v>459</v>
      </c>
      <c r="D20" s="112" t="s">
        <v>643</v>
      </c>
      <c r="E20" s="13" t="s">
        <v>1093</v>
      </c>
      <c r="F20" s="7" t="s">
        <v>584</v>
      </c>
      <c r="G20" s="7" t="s">
        <v>775</v>
      </c>
      <c r="H20" s="7" t="s">
        <v>776</v>
      </c>
      <c r="I20" s="112" t="s">
        <v>187</v>
      </c>
      <c r="J20" s="7" t="s">
        <v>777</v>
      </c>
      <c r="K20" s="104">
        <v>43290</v>
      </c>
      <c r="L20" s="8">
        <v>43778</v>
      </c>
      <c r="M20" s="4">
        <f t="shared" si="16"/>
        <v>85.00000356420064</v>
      </c>
      <c r="N20" s="2">
        <v>3</v>
      </c>
      <c r="O20" s="8" t="s">
        <v>275</v>
      </c>
      <c r="P20" s="8" t="s">
        <v>277</v>
      </c>
      <c r="Q20" s="8" t="s">
        <v>216</v>
      </c>
      <c r="R20" s="2" t="s">
        <v>36</v>
      </c>
      <c r="S20" s="26">
        <v>512737.71</v>
      </c>
      <c r="T20" s="25">
        <v>512737.71</v>
      </c>
      <c r="U20" s="25">
        <v>0</v>
      </c>
      <c r="V20" s="26">
        <v>78418.69</v>
      </c>
      <c r="W20" s="25">
        <v>78418.69</v>
      </c>
      <c r="X20" s="25">
        <v>0</v>
      </c>
      <c r="Y20" s="25">
        <v>12064.41</v>
      </c>
      <c r="Z20" s="25">
        <v>12064.41</v>
      </c>
      <c r="AA20" s="25">
        <v>0</v>
      </c>
      <c r="AB20" s="25">
        <f t="shared" si="21"/>
        <v>0</v>
      </c>
      <c r="AC20" s="25">
        <v>0</v>
      </c>
      <c r="AD20" s="25">
        <v>0</v>
      </c>
      <c r="AE20" s="25">
        <f>S20+V20+Y20</f>
        <v>603220.81000000006</v>
      </c>
      <c r="AF20" s="32"/>
      <c r="AG20" s="25">
        <f t="shared" si="20"/>
        <v>603220.81000000006</v>
      </c>
      <c r="AH20" s="28" t="s">
        <v>627</v>
      </c>
      <c r="AI20" s="32"/>
      <c r="AJ20" s="29">
        <f>37011.15+21320.94</f>
        <v>58332.09</v>
      </c>
      <c r="AK20" s="29">
        <f>5660.53+3260.85</f>
        <v>8921.3799999999992</v>
      </c>
    </row>
    <row r="21" spans="1:37" ht="141.75" x14ac:dyDescent="0.25">
      <c r="A21" s="5">
        <v>15</v>
      </c>
      <c r="B21" s="81">
        <v>126349</v>
      </c>
      <c r="C21" s="118">
        <v>566</v>
      </c>
      <c r="D21" s="112" t="s">
        <v>176</v>
      </c>
      <c r="E21" s="13" t="s">
        <v>1093</v>
      </c>
      <c r="F21" s="7" t="s">
        <v>1191</v>
      </c>
      <c r="G21" s="7" t="s">
        <v>1295</v>
      </c>
      <c r="H21" s="7" t="s">
        <v>743</v>
      </c>
      <c r="I21" s="112" t="s">
        <v>187</v>
      </c>
      <c r="J21" s="7" t="s">
        <v>1296</v>
      </c>
      <c r="K21" s="104">
        <v>43482</v>
      </c>
      <c r="L21" s="8">
        <v>44212</v>
      </c>
      <c r="M21" s="4">
        <f t="shared" ref="M21" si="22">S21/AE21*100</f>
        <v>85.000000750761799</v>
      </c>
      <c r="N21" s="2">
        <v>3</v>
      </c>
      <c r="O21" s="8" t="s">
        <v>275</v>
      </c>
      <c r="P21" s="8" t="s">
        <v>277</v>
      </c>
      <c r="Q21" s="8" t="s">
        <v>216</v>
      </c>
      <c r="R21" s="2" t="s">
        <v>36</v>
      </c>
      <c r="S21" s="26">
        <f>T21+U21</f>
        <v>3396550.05</v>
      </c>
      <c r="T21" s="25">
        <v>3396550.05</v>
      </c>
      <c r="U21" s="25">
        <v>0</v>
      </c>
      <c r="V21" s="26">
        <f>W21+X21</f>
        <v>519472.32</v>
      </c>
      <c r="W21" s="25">
        <v>519472.32</v>
      </c>
      <c r="X21" s="25">
        <v>0</v>
      </c>
      <c r="Y21" s="25">
        <f>Z21+AA21</f>
        <v>79918.83</v>
      </c>
      <c r="Z21" s="25">
        <v>79918.83</v>
      </c>
      <c r="AA21" s="25">
        <v>0</v>
      </c>
      <c r="AB21" s="25">
        <f>AC21+AD21</f>
        <v>0</v>
      </c>
      <c r="AC21" s="25">
        <v>0</v>
      </c>
      <c r="AD21" s="25">
        <v>0</v>
      </c>
      <c r="AE21" s="25">
        <f>S21+V21+Y21+AB21</f>
        <v>3995941.1999999997</v>
      </c>
      <c r="AF21" s="32">
        <v>0</v>
      </c>
      <c r="AG21" s="25">
        <f>AE21+AF21</f>
        <v>3995941.1999999997</v>
      </c>
      <c r="AH21" s="28" t="s">
        <v>627</v>
      </c>
      <c r="AI21" s="32"/>
      <c r="AJ21" s="29"/>
      <c r="AK21" s="29"/>
    </row>
    <row r="22" spans="1:37" ht="173.25" x14ac:dyDescent="0.25">
      <c r="A22" s="5">
        <v>16</v>
      </c>
      <c r="B22" s="81">
        <v>119613</v>
      </c>
      <c r="C22" s="118">
        <v>461</v>
      </c>
      <c r="D22" s="112" t="s">
        <v>178</v>
      </c>
      <c r="E22" s="13" t="s">
        <v>1093</v>
      </c>
      <c r="F22" s="7" t="s">
        <v>584</v>
      </c>
      <c r="G22" s="7" t="s">
        <v>948</v>
      </c>
      <c r="H22" s="13" t="s">
        <v>949</v>
      </c>
      <c r="I22" s="112" t="s">
        <v>187</v>
      </c>
      <c r="J22" s="7" t="s">
        <v>950</v>
      </c>
      <c r="K22" s="104">
        <v>43320</v>
      </c>
      <c r="L22" s="8">
        <v>43624</v>
      </c>
      <c r="M22" s="112">
        <f t="shared" si="16"/>
        <v>85.00000179686964</v>
      </c>
      <c r="N22" s="112">
        <v>1</v>
      </c>
      <c r="O22" s="112" t="s">
        <v>381</v>
      </c>
      <c r="P22" s="112" t="s">
        <v>381</v>
      </c>
      <c r="Q22" s="8" t="s">
        <v>216</v>
      </c>
      <c r="R22" s="2" t="s">
        <v>36</v>
      </c>
      <c r="S22" s="27">
        <f t="shared" ref="S22" si="23">T22+U22</f>
        <v>236522.45</v>
      </c>
      <c r="T22" s="25">
        <v>236522.45</v>
      </c>
      <c r="U22" s="27">
        <v>0</v>
      </c>
      <c r="V22" s="35">
        <f t="shared" ref="V22" si="24">W22+X22</f>
        <v>36174.019999999997</v>
      </c>
      <c r="W22" s="120">
        <v>36174.019999999997</v>
      </c>
      <c r="X22" s="35">
        <v>0</v>
      </c>
      <c r="Y22" s="36">
        <f t="shared" ref="Y22" si="25">Z22+AA22</f>
        <v>5565.23</v>
      </c>
      <c r="Z22" s="120">
        <v>5565.23</v>
      </c>
      <c r="AA22" s="36">
        <v>0</v>
      </c>
      <c r="AB22" s="27">
        <v>0</v>
      </c>
      <c r="AC22" s="27">
        <v>0</v>
      </c>
      <c r="AD22" s="27">
        <v>0</v>
      </c>
      <c r="AE22" s="27">
        <f>S22+V22+Y22+AB22</f>
        <v>278261.7</v>
      </c>
      <c r="AF22" s="27">
        <v>37449.300000000003</v>
      </c>
      <c r="AG22" s="27">
        <f t="shared" ref="AG22" si="26">AE22+AF22</f>
        <v>315711</v>
      </c>
      <c r="AH22" s="28" t="s">
        <v>627</v>
      </c>
      <c r="AI22" s="37" t="s">
        <v>187</v>
      </c>
      <c r="AJ22" s="39">
        <f>36606.19+59255.8</f>
        <v>95861.99</v>
      </c>
      <c r="AK22" s="29">
        <f>5598.59+9062.65</f>
        <v>14661.24</v>
      </c>
    </row>
    <row r="23" spans="1:37" ht="330.75" x14ac:dyDescent="0.25">
      <c r="A23" s="2">
        <v>17</v>
      </c>
      <c r="B23" s="81">
        <v>118515</v>
      </c>
      <c r="C23" s="118">
        <v>429</v>
      </c>
      <c r="D23" s="112" t="s">
        <v>892</v>
      </c>
      <c r="E23" s="7" t="s">
        <v>748</v>
      </c>
      <c r="F23" s="7" t="s">
        <v>653</v>
      </c>
      <c r="G23" s="7" t="s">
        <v>999</v>
      </c>
      <c r="H23" s="13" t="s">
        <v>949</v>
      </c>
      <c r="I23" s="112" t="s">
        <v>187</v>
      </c>
      <c r="J23" s="7" t="s">
        <v>1000</v>
      </c>
      <c r="K23" s="104">
        <v>43333</v>
      </c>
      <c r="L23" s="8">
        <v>43820</v>
      </c>
      <c r="M23" s="105">
        <f t="shared" si="16"/>
        <v>85</v>
      </c>
      <c r="N23" s="112">
        <v>1</v>
      </c>
      <c r="O23" s="112" t="s">
        <v>381</v>
      </c>
      <c r="P23" s="112" t="s">
        <v>381</v>
      </c>
      <c r="Q23" s="8" t="s">
        <v>216</v>
      </c>
      <c r="R23" s="2" t="s">
        <v>36</v>
      </c>
      <c r="S23" s="25">
        <f t="shared" ref="S23:S24" si="27">T23+U23</f>
        <v>339452.6</v>
      </c>
      <c r="T23" s="29">
        <v>339452.6</v>
      </c>
      <c r="U23" s="29">
        <v>0</v>
      </c>
      <c r="V23" s="25">
        <f t="shared" si="18"/>
        <v>51916.28</v>
      </c>
      <c r="W23" s="29">
        <v>51916.28</v>
      </c>
      <c r="X23" s="33">
        <v>0</v>
      </c>
      <c r="Y23" s="25">
        <f t="shared" si="19"/>
        <v>7987.12</v>
      </c>
      <c r="Z23" s="29">
        <v>7987.12</v>
      </c>
      <c r="AA23" s="29">
        <v>0</v>
      </c>
      <c r="AB23" s="25">
        <f t="shared" si="21"/>
        <v>0</v>
      </c>
      <c r="AC23" s="27">
        <v>0</v>
      </c>
      <c r="AD23" s="27">
        <v>0</v>
      </c>
      <c r="AE23" s="25">
        <f>S23+W23+Z23</f>
        <v>399356</v>
      </c>
      <c r="AF23" s="27">
        <v>58024.99</v>
      </c>
      <c r="AG23" s="25">
        <f t="shared" si="20"/>
        <v>457380.99</v>
      </c>
      <c r="AH23" s="28" t="s">
        <v>627</v>
      </c>
      <c r="AI23" s="37" t="s">
        <v>187</v>
      </c>
      <c r="AJ23" s="39">
        <v>17436.62</v>
      </c>
      <c r="AK23" s="39">
        <v>2549.38</v>
      </c>
    </row>
    <row r="24" spans="1:37" ht="157.5" x14ac:dyDescent="0.25">
      <c r="A24" s="5">
        <v>18</v>
      </c>
      <c r="B24" s="81">
        <v>126161</v>
      </c>
      <c r="C24" s="118">
        <v>571</v>
      </c>
      <c r="D24" s="112" t="s">
        <v>177</v>
      </c>
      <c r="E24" s="7" t="s">
        <v>1018</v>
      </c>
      <c r="F24" s="7" t="s">
        <v>1191</v>
      </c>
      <c r="G24" s="7" t="s">
        <v>1226</v>
      </c>
      <c r="H24" s="13" t="s">
        <v>1225</v>
      </c>
      <c r="I24" s="112" t="s">
        <v>187</v>
      </c>
      <c r="J24" s="7" t="s">
        <v>1227</v>
      </c>
      <c r="K24" s="104">
        <v>43444</v>
      </c>
      <c r="L24" s="8">
        <v>44265</v>
      </c>
      <c r="M24" s="105">
        <f t="shared" si="16"/>
        <v>84.999999835393808</v>
      </c>
      <c r="N24" s="112">
        <v>1</v>
      </c>
      <c r="O24" s="112" t="s">
        <v>381</v>
      </c>
      <c r="P24" s="112" t="s">
        <v>381</v>
      </c>
      <c r="Q24" s="8" t="s">
        <v>216</v>
      </c>
      <c r="R24" s="2" t="s">
        <v>36</v>
      </c>
      <c r="S24" s="25">
        <f t="shared" si="27"/>
        <v>2323727.9300000002</v>
      </c>
      <c r="T24" s="29">
        <v>2323727.9300000002</v>
      </c>
      <c r="U24" s="29">
        <v>0</v>
      </c>
      <c r="V24" s="25">
        <f t="shared" si="18"/>
        <v>355393.68</v>
      </c>
      <c r="W24" s="29">
        <v>355393.68</v>
      </c>
      <c r="X24" s="33">
        <v>0</v>
      </c>
      <c r="Y24" s="25">
        <f t="shared" si="19"/>
        <v>54675.96</v>
      </c>
      <c r="Z24" s="29">
        <v>54675.96</v>
      </c>
      <c r="AA24" s="29">
        <v>0</v>
      </c>
      <c r="AB24" s="25">
        <f t="shared" si="21"/>
        <v>0</v>
      </c>
      <c r="AC24" s="27">
        <v>0</v>
      </c>
      <c r="AD24" s="27">
        <v>0</v>
      </c>
      <c r="AE24" s="25">
        <f t="shared" ref="AE24" si="28">S24+W24+Z24</f>
        <v>2733797.5700000003</v>
      </c>
      <c r="AF24" s="27">
        <v>80920</v>
      </c>
      <c r="AG24" s="25">
        <f t="shared" si="20"/>
        <v>2814717.5700000003</v>
      </c>
      <c r="AH24" s="28" t="s">
        <v>627</v>
      </c>
      <c r="AI24" s="37"/>
      <c r="AJ24" s="39">
        <v>0</v>
      </c>
      <c r="AK24" s="39">
        <v>0</v>
      </c>
    </row>
    <row r="25" spans="1:37" ht="186" customHeight="1" x14ac:dyDescent="0.25">
      <c r="A25" s="5">
        <v>19</v>
      </c>
      <c r="B25" s="67">
        <v>122823</v>
      </c>
      <c r="C25" s="118">
        <v>71</v>
      </c>
      <c r="D25" s="7" t="s">
        <v>175</v>
      </c>
      <c r="E25" s="7" t="s">
        <v>1018</v>
      </c>
      <c r="F25" s="119" t="s">
        <v>366</v>
      </c>
      <c r="G25" s="129" t="s">
        <v>540</v>
      </c>
      <c r="H25" s="7" t="s">
        <v>538</v>
      </c>
      <c r="I25" s="13" t="s">
        <v>187</v>
      </c>
      <c r="J25" s="11" t="s">
        <v>539</v>
      </c>
      <c r="K25" s="104">
        <v>43244</v>
      </c>
      <c r="L25" s="8">
        <v>43732</v>
      </c>
      <c r="M25" s="14">
        <f t="shared" ref="M25:M26" si="29">S25/AE25*100</f>
        <v>85.000001791562255</v>
      </c>
      <c r="N25" s="13">
        <v>6</v>
      </c>
      <c r="O25" s="7" t="s">
        <v>536</v>
      </c>
      <c r="P25" s="7" t="s">
        <v>537</v>
      </c>
      <c r="Q25" s="129" t="s">
        <v>216</v>
      </c>
      <c r="R25" s="7" t="s">
        <v>36</v>
      </c>
      <c r="S25" s="27">
        <f t="shared" ref="S25" si="30">T25+U25</f>
        <v>355834.7</v>
      </c>
      <c r="T25" s="29">
        <v>355834.7</v>
      </c>
      <c r="U25" s="27">
        <v>0</v>
      </c>
      <c r="V25" s="35">
        <f t="shared" ref="V25" si="31">W25+X25</f>
        <v>54421.769999999982</v>
      </c>
      <c r="W25" s="39">
        <v>54421.769999999982</v>
      </c>
      <c r="X25" s="35">
        <v>0</v>
      </c>
      <c r="Y25" s="36">
        <f t="shared" ref="Y25" si="32">Z25+AA25</f>
        <v>8372.58</v>
      </c>
      <c r="Z25" s="120">
        <v>8372.58</v>
      </c>
      <c r="AA25" s="36">
        <v>0</v>
      </c>
      <c r="AB25" s="27">
        <v>0</v>
      </c>
      <c r="AC25" s="27"/>
      <c r="AD25" s="27"/>
      <c r="AE25" s="27">
        <f>S25+V25+Y25+AB25</f>
        <v>418629.05</v>
      </c>
      <c r="AF25" s="27">
        <v>0</v>
      </c>
      <c r="AG25" s="27">
        <f t="shared" ref="AG25" si="33">AE25+AF25</f>
        <v>418629.05</v>
      </c>
      <c r="AH25" s="28" t="s">
        <v>627</v>
      </c>
      <c r="AI25" s="37" t="s">
        <v>187</v>
      </c>
      <c r="AJ25" s="39">
        <f>75266.37-5365.18+40445.22</f>
        <v>110346.41</v>
      </c>
      <c r="AK25" s="29">
        <f>5108.77+5365.18</f>
        <v>10473.950000000001</v>
      </c>
    </row>
    <row r="26" spans="1:37" ht="141.75" x14ac:dyDescent="0.25">
      <c r="A26" s="2">
        <v>20</v>
      </c>
      <c r="B26" s="119">
        <v>119767</v>
      </c>
      <c r="C26" s="119">
        <v>475</v>
      </c>
      <c r="D26" s="119" t="s">
        <v>643</v>
      </c>
      <c r="E26" s="13" t="s">
        <v>1093</v>
      </c>
      <c r="F26" s="7" t="s">
        <v>584</v>
      </c>
      <c r="G26" s="129" t="s">
        <v>880</v>
      </c>
      <c r="H26" s="129" t="s">
        <v>881</v>
      </c>
      <c r="I26" s="13" t="s">
        <v>187</v>
      </c>
      <c r="J26" s="11" t="s">
        <v>882</v>
      </c>
      <c r="K26" s="104">
        <v>43306</v>
      </c>
      <c r="L26" s="8">
        <v>43794</v>
      </c>
      <c r="M26" s="14">
        <f t="shared" si="29"/>
        <v>85.000000000000014</v>
      </c>
      <c r="N26" s="2">
        <v>6</v>
      </c>
      <c r="O26" s="8" t="s">
        <v>536</v>
      </c>
      <c r="P26" s="8" t="s">
        <v>883</v>
      </c>
      <c r="Q26" s="8" t="s">
        <v>216</v>
      </c>
      <c r="R26" s="2" t="s">
        <v>36</v>
      </c>
      <c r="S26" s="25">
        <v>518392.9</v>
      </c>
      <c r="T26" s="25">
        <v>518392.9</v>
      </c>
      <c r="U26" s="27">
        <v>0</v>
      </c>
      <c r="V26" s="25">
        <v>79283.62</v>
      </c>
      <c r="W26" s="39">
        <v>79283.62</v>
      </c>
      <c r="X26" s="35">
        <v>0</v>
      </c>
      <c r="Y26" s="25">
        <v>12197.48</v>
      </c>
      <c r="Z26" s="130">
        <v>12197.48</v>
      </c>
      <c r="AA26" s="36">
        <v>0</v>
      </c>
      <c r="AB26" s="25">
        <f t="shared" si="21"/>
        <v>0</v>
      </c>
      <c r="AC26" s="27">
        <v>0</v>
      </c>
      <c r="AD26" s="27">
        <v>0</v>
      </c>
      <c r="AE26" s="25">
        <f>S26+V26+Y26+AB26</f>
        <v>609874</v>
      </c>
      <c r="AF26" s="27">
        <v>0</v>
      </c>
      <c r="AG26" s="25">
        <f t="shared" ref="AG26" si="34">AE26+AF26</f>
        <v>609874</v>
      </c>
      <c r="AH26" s="28" t="s">
        <v>627</v>
      </c>
      <c r="AI26" s="37" t="s">
        <v>187</v>
      </c>
      <c r="AJ26" s="39">
        <v>60000</v>
      </c>
      <c r="AK26" s="29">
        <v>0</v>
      </c>
    </row>
    <row r="27" spans="1:37" s="132" customFormat="1" ht="141.75" x14ac:dyDescent="0.25">
      <c r="A27" s="5">
        <v>21</v>
      </c>
      <c r="B27" s="67">
        <v>120599</v>
      </c>
      <c r="C27" s="118">
        <v>75</v>
      </c>
      <c r="D27" s="7" t="s">
        <v>178</v>
      </c>
      <c r="E27" s="7" t="s">
        <v>1018</v>
      </c>
      <c r="F27" s="119" t="s">
        <v>366</v>
      </c>
      <c r="G27" s="129" t="s">
        <v>280</v>
      </c>
      <c r="H27" s="7" t="s">
        <v>281</v>
      </c>
      <c r="I27" s="13" t="s">
        <v>187</v>
      </c>
      <c r="J27" s="131" t="s">
        <v>884</v>
      </c>
      <c r="K27" s="104">
        <v>43145</v>
      </c>
      <c r="L27" s="8">
        <v>43630</v>
      </c>
      <c r="M27" s="14">
        <f t="shared" ref="M27:M29" si="35">S27/AE27*100</f>
        <v>84.999998786570643</v>
      </c>
      <c r="N27" s="13">
        <v>6</v>
      </c>
      <c r="O27" s="7" t="s">
        <v>296</v>
      </c>
      <c r="P27" s="7" t="s">
        <v>282</v>
      </c>
      <c r="Q27" s="129" t="s">
        <v>216</v>
      </c>
      <c r="R27" s="7" t="s">
        <v>36</v>
      </c>
      <c r="S27" s="27">
        <f t="shared" ref="S27:S29" si="36">T27+U27</f>
        <v>350247</v>
      </c>
      <c r="T27" s="25">
        <v>350247</v>
      </c>
      <c r="U27" s="27">
        <v>0</v>
      </c>
      <c r="V27" s="35">
        <f t="shared" ref="V27:V29" si="37">W27+X27</f>
        <v>53567.19</v>
      </c>
      <c r="W27" s="39">
        <v>53567.19</v>
      </c>
      <c r="X27" s="35">
        <v>0</v>
      </c>
      <c r="Y27" s="36">
        <f t="shared" ref="Y27:Y29" si="38">Z27+AA27</f>
        <v>8241.11</v>
      </c>
      <c r="Z27" s="120">
        <v>8241.11</v>
      </c>
      <c r="AA27" s="36">
        <v>0</v>
      </c>
      <c r="AB27" s="27">
        <v>0</v>
      </c>
      <c r="AC27" s="27"/>
      <c r="AD27" s="27"/>
      <c r="AE27" s="27">
        <f>S27+V27+Y27+AB27</f>
        <v>412055.3</v>
      </c>
      <c r="AF27" s="27">
        <v>0</v>
      </c>
      <c r="AG27" s="27">
        <f t="shared" ref="AG27" si="39">AE27+AF27</f>
        <v>412055.3</v>
      </c>
      <c r="AH27" s="28" t="s">
        <v>627</v>
      </c>
      <c r="AI27" s="37" t="s">
        <v>187</v>
      </c>
      <c r="AJ27" s="39">
        <v>0</v>
      </c>
      <c r="AK27" s="29">
        <v>0</v>
      </c>
    </row>
    <row r="28" spans="1:37" ht="291" customHeight="1" x14ac:dyDescent="0.25">
      <c r="A28" s="5">
        <v>22</v>
      </c>
      <c r="B28" s="81">
        <v>119593</v>
      </c>
      <c r="C28" s="118">
        <v>467</v>
      </c>
      <c r="D28" s="112" t="s">
        <v>727</v>
      </c>
      <c r="E28" s="13" t="s">
        <v>1093</v>
      </c>
      <c r="F28" s="7" t="s">
        <v>584</v>
      </c>
      <c r="G28" s="7" t="s">
        <v>820</v>
      </c>
      <c r="H28" s="7" t="s">
        <v>821</v>
      </c>
      <c r="I28" s="112" t="s">
        <v>373</v>
      </c>
      <c r="J28" s="7" t="s">
        <v>822</v>
      </c>
      <c r="K28" s="104">
        <v>43293</v>
      </c>
      <c r="L28" s="8">
        <v>43781</v>
      </c>
      <c r="M28" s="13">
        <f t="shared" si="35"/>
        <v>84.262029230668674</v>
      </c>
      <c r="N28" s="112">
        <v>1</v>
      </c>
      <c r="O28" s="112" t="s">
        <v>823</v>
      </c>
      <c r="P28" s="112" t="s">
        <v>823</v>
      </c>
      <c r="Q28" s="112" t="s">
        <v>216</v>
      </c>
      <c r="R28" s="7" t="s">
        <v>36</v>
      </c>
      <c r="S28" s="26">
        <f t="shared" ref="S28" si="40">T28+U28</f>
        <v>349239.24</v>
      </c>
      <c r="T28" s="29">
        <v>349239.24</v>
      </c>
      <c r="U28" s="27">
        <v>0</v>
      </c>
      <c r="V28" s="26">
        <f t="shared" ref="V28" si="41">W28+X28</f>
        <v>56939.5</v>
      </c>
      <c r="W28" s="29">
        <v>56939.5</v>
      </c>
      <c r="X28" s="27">
        <v>0</v>
      </c>
      <c r="Y28" s="26">
        <f t="shared" ref="Y28" si="42">Z28+AA28</f>
        <v>4690.93</v>
      </c>
      <c r="Z28" s="29">
        <v>4690.93</v>
      </c>
      <c r="AA28" s="29">
        <v>0</v>
      </c>
      <c r="AB28" s="25">
        <f t="shared" ref="AB28" si="43">AC28+AD28</f>
        <v>3598.44</v>
      </c>
      <c r="AC28" s="27">
        <v>3598.44</v>
      </c>
      <c r="AD28" s="27">
        <v>0</v>
      </c>
      <c r="AE28" s="25">
        <f t="shared" ref="AE28" si="44">S28+V28+Y28+AB28</f>
        <v>414468.11</v>
      </c>
      <c r="AF28" s="32"/>
      <c r="AG28" s="25">
        <f t="shared" ref="AG28" si="45">AE28+AF28</f>
        <v>414468.11</v>
      </c>
      <c r="AH28" s="28" t="s">
        <v>627</v>
      </c>
      <c r="AI28" s="32"/>
      <c r="AJ28" s="77">
        <f>35492.2+30895.14</f>
        <v>66387.34</v>
      </c>
      <c r="AK28" s="77">
        <v>4135.8500000000004</v>
      </c>
    </row>
    <row r="29" spans="1:37" ht="215.25" customHeight="1" x14ac:dyDescent="0.25">
      <c r="A29" s="2">
        <v>23</v>
      </c>
      <c r="B29" s="67">
        <v>118690</v>
      </c>
      <c r="C29" s="13">
        <v>433</v>
      </c>
      <c r="D29" s="2" t="s">
        <v>741</v>
      </c>
      <c r="E29" s="7" t="s">
        <v>748</v>
      </c>
      <c r="F29" s="7" t="s">
        <v>653</v>
      </c>
      <c r="G29" s="7" t="s">
        <v>1008</v>
      </c>
      <c r="H29" s="13" t="s">
        <v>821</v>
      </c>
      <c r="I29" s="13" t="s">
        <v>1017</v>
      </c>
      <c r="J29" s="7" t="s">
        <v>1009</v>
      </c>
      <c r="K29" s="104">
        <v>43333</v>
      </c>
      <c r="L29" s="8">
        <v>43790</v>
      </c>
      <c r="M29" s="13">
        <f t="shared" si="35"/>
        <v>84.169367233766351</v>
      </c>
      <c r="N29" s="112">
        <v>1</v>
      </c>
      <c r="O29" s="112" t="s">
        <v>823</v>
      </c>
      <c r="P29" s="112" t="s">
        <v>823</v>
      </c>
      <c r="Q29" s="112" t="s">
        <v>216</v>
      </c>
      <c r="R29" s="7" t="s">
        <v>1010</v>
      </c>
      <c r="S29" s="27">
        <f t="shared" si="36"/>
        <v>242198.44</v>
      </c>
      <c r="T29" s="29">
        <v>242198.44</v>
      </c>
      <c r="U29" s="93">
        <v>0</v>
      </c>
      <c r="V29" s="35">
        <f t="shared" si="37"/>
        <v>39797.81</v>
      </c>
      <c r="W29" s="29">
        <v>39797.81</v>
      </c>
      <c r="X29" s="93">
        <v>0</v>
      </c>
      <c r="Y29" s="36">
        <f t="shared" si="38"/>
        <v>5755.04</v>
      </c>
      <c r="Z29" s="29">
        <v>5755.04</v>
      </c>
      <c r="AA29" s="39">
        <v>0</v>
      </c>
      <c r="AB29" s="27">
        <v>0</v>
      </c>
      <c r="AC29" s="93">
        <v>0</v>
      </c>
      <c r="AD29" s="93">
        <v>0</v>
      </c>
      <c r="AE29" s="27">
        <f t="shared" ref="AE29" si="46">S29+V29+Y29</f>
        <v>287751.28999999998</v>
      </c>
      <c r="AF29" s="32"/>
      <c r="AG29" s="27">
        <f t="shared" ref="AG29" si="47">AE29+AF29</f>
        <v>287751.28999999998</v>
      </c>
      <c r="AH29" s="28" t="s">
        <v>627</v>
      </c>
      <c r="AI29" s="32"/>
      <c r="AJ29" s="97">
        <f>28775.11+11891.84</f>
        <v>40666.949999999997</v>
      </c>
      <c r="AK29" s="38">
        <v>6600.82</v>
      </c>
    </row>
    <row r="30" spans="1:37" ht="173.25" x14ac:dyDescent="0.25">
      <c r="A30" s="5">
        <v>24</v>
      </c>
      <c r="B30" s="2">
        <v>120555</v>
      </c>
      <c r="C30" s="118">
        <v>93</v>
      </c>
      <c r="D30" s="2" t="s">
        <v>177</v>
      </c>
      <c r="E30" s="7" t="s">
        <v>1018</v>
      </c>
      <c r="F30" s="119" t="s">
        <v>366</v>
      </c>
      <c r="G30" s="21" t="s">
        <v>441</v>
      </c>
      <c r="H30" s="21" t="s">
        <v>440</v>
      </c>
      <c r="I30" s="133" t="s">
        <v>442</v>
      </c>
      <c r="J30" s="11" t="s">
        <v>443</v>
      </c>
      <c r="K30" s="104">
        <v>43208</v>
      </c>
      <c r="L30" s="8">
        <v>43695</v>
      </c>
      <c r="M30" s="4">
        <f t="shared" ref="M30:M33" si="48">S30/AE30*100</f>
        <v>84.163174801247621</v>
      </c>
      <c r="N30" s="2">
        <v>2</v>
      </c>
      <c r="O30" s="2" t="s">
        <v>464</v>
      </c>
      <c r="P30" s="2" t="s">
        <v>444</v>
      </c>
      <c r="Q30" s="23" t="s">
        <v>216</v>
      </c>
      <c r="R30" s="2" t="s">
        <v>36</v>
      </c>
      <c r="S30" s="26">
        <f t="shared" ref="S30:S33" si="49">T30+U30</f>
        <v>356789.37</v>
      </c>
      <c r="T30" s="25">
        <v>356789.37</v>
      </c>
      <c r="U30" s="25">
        <v>0</v>
      </c>
      <c r="V30" s="26">
        <f t="shared" ref="V30:V33" si="50">W30+X30</f>
        <v>58657.86</v>
      </c>
      <c r="W30" s="25">
        <v>58657.86</v>
      </c>
      <c r="X30" s="25">
        <v>0</v>
      </c>
      <c r="Y30" s="26">
        <f t="shared" ref="Y30:Y33" si="51">Z30+AA30</f>
        <v>8478.52</v>
      </c>
      <c r="Z30" s="25">
        <v>8478.52</v>
      </c>
      <c r="AA30" s="25">
        <v>0</v>
      </c>
      <c r="AB30" s="25">
        <f t="shared" ref="AB30:AB33" si="52">AC30+AD30</f>
        <v>0</v>
      </c>
      <c r="AC30" s="25"/>
      <c r="AD30" s="25"/>
      <c r="AE30" s="25">
        <f t="shared" ref="AE30:AE33" si="53">S30+V30+Y30+AB30</f>
        <v>423925.75</v>
      </c>
      <c r="AF30" s="25">
        <v>0</v>
      </c>
      <c r="AG30" s="25">
        <f t="shared" ref="AG30:AG33" si="54">AE30+AF30</f>
        <v>423925.75</v>
      </c>
      <c r="AH30" s="28" t="s">
        <v>627</v>
      </c>
      <c r="AI30" s="72" t="s">
        <v>187</v>
      </c>
      <c r="AJ30" s="39">
        <f>20867.74+18218.8+30425.63+3648.09</f>
        <v>73160.259999999995</v>
      </c>
      <c r="AK30" s="29">
        <f>6395.02+3754.28+1987.29</f>
        <v>12136.59</v>
      </c>
    </row>
    <row r="31" spans="1:37" ht="141.75" x14ac:dyDescent="0.25">
      <c r="A31" s="5">
        <v>25</v>
      </c>
      <c r="B31" s="2">
        <v>119189</v>
      </c>
      <c r="C31" s="118">
        <v>466</v>
      </c>
      <c r="D31" s="2" t="s">
        <v>727</v>
      </c>
      <c r="E31" s="13" t="s">
        <v>1093</v>
      </c>
      <c r="F31" s="13" t="s">
        <v>584</v>
      </c>
      <c r="G31" s="21" t="s">
        <v>728</v>
      </c>
      <c r="H31" s="21" t="s">
        <v>842</v>
      </c>
      <c r="I31" s="13" t="s">
        <v>187</v>
      </c>
      <c r="J31" s="11" t="s">
        <v>841</v>
      </c>
      <c r="K31" s="104">
        <v>43278</v>
      </c>
      <c r="L31" s="8">
        <v>43765</v>
      </c>
      <c r="M31" s="4">
        <f t="shared" si="48"/>
        <v>85.000000991333039</v>
      </c>
      <c r="N31" s="2">
        <v>2</v>
      </c>
      <c r="O31" s="2" t="s">
        <v>464</v>
      </c>
      <c r="P31" s="2" t="s">
        <v>444</v>
      </c>
      <c r="Q31" s="23" t="s">
        <v>216</v>
      </c>
      <c r="R31" s="2" t="s">
        <v>36</v>
      </c>
      <c r="S31" s="26">
        <f t="shared" si="49"/>
        <v>514458.8</v>
      </c>
      <c r="T31" s="25">
        <v>514458.8</v>
      </c>
      <c r="U31" s="25">
        <v>0</v>
      </c>
      <c r="V31" s="26">
        <f t="shared" si="50"/>
        <v>78681.929999999978</v>
      </c>
      <c r="W31" s="25">
        <v>78681.929999999978</v>
      </c>
      <c r="X31" s="25">
        <v>0</v>
      </c>
      <c r="Y31" s="26">
        <f t="shared" si="51"/>
        <v>12104.91</v>
      </c>
      <c r="Z31" s="25">
        <v>12104.91</v>
      </c>
      <c r="AA31" s="25">
        <v>0</v>
      </c>
      <c r="AB31" s="25">
        <f t="shared" si="52"/>
        <v>0</v>
      </c>
      <c r="AC31" s="25">
        <v>0</v>
      </c>
      <c r="AD31" s="25">
        <v>0</v>
      </c>
      <c r="AE31" s="25">
        <f t="shared" si="53"/>
        <v>605245.64</v>
      </c>
      <c r="AF31" s="25"/>
      <c r="AG31" s="25">
        <f t="shared" si="54"/>
        <v>605245.64</v>
      </c>
      <c r="AH31" s="28" t="s">
        <v>627</v>
      </c>
      <c r="AI31" s="72" t="s">
        <v>187</v>
      </c>
      <c r="AJ31" s="39">
        <v>44348.46</v>
      </c>
      <c r="AK31" s="29">
        <v>6782.71</v>
      </c>
    </row>
    <row r="32" spans="1:37" ht="151.5" customHeight="1" x14ac:dyDescent="0.25">
      <c r="A32" s="2">
        <v>26</v>
      </c>
      <c r="B32" s="2">
        <v>125782</v>
      </c>
      <c r="C32" s="118">
        <v>520</v>
      </c>
      <c r="D32" s="112" t="s">
        <v>689</v>
      </c>
      <c r="E32" s="7" t="s">
        <v>1018</v>
      </c>
      <c r="F32" s="6" t="s">
        <v>1191</v>
      </c>
      <c r="G32" s="21" t="s">
        <v>1234</v>
      </c>
      <c r="H32" s="21" t="s">
        <v>842</v>
      </c>
      <c r="I32" s="13" t="s">
        <v>187</v>
      </c>
      <c r="J32" s="11" t="s">
        <v>1235</v>
      </c>
      <c r="K32" s="104">
        <v>43445</v>
      </c>
      <c r="L32" s="8">
        <v>43872</v>
      </c>
      <c r="M32" s="4">
        <f t="shared" si="48"/>
        <v>84.999999737203865</v>
      </c>
      <c r="N32" s="2">
        <v>2</v>
      </c>
      <c r="O32" s="2" t="s">
        <v>464</v>
      </c>
      <c r="P32" s="2" t="s">
        <v>444</v>
      </c>
      <c r="Q32" s="23" t="s">
        <v>216</v>
      </c>
      <c r="R32" s="2" t="s">
        <v>36</v>
      </c>
      <c r="S32" s="26">
        <f t="shared" si="49"/>
        <v>1132056.27</v>
      </c>
      <c r="T32" s="25">
        <v>1132056.27</v>
      </c>
      <c r="U32" s="25">
        <v>0</v>
      </c>
      <c r="V32" s="26">
        <f t="shared" si="50"/>
        <v>173138.02</v>
      </c>
      <c r="W32" s="25">
        <v>173138.02</v>
      </c>
      <c r="X32" s="25">
        <v>0</v>
      </c>
      <c r="Y32" s="26">
        <f t="shared" si="51"/>
        <v>26636.62</v>
      </c>
      <c r="Z32" s="25">
        <v>26636.62</v>
      </c>
      <c r="AA32" s="39">
        <v>0</v>
      </c>
      <c r="AB32" s="25">
        <f t="shared" si="52"/>
        <v>0</v>
      </c>
      <c r="AC32" s="27">
        <v>0</v>
      </c>
      <c r="AD32" s="27">
        <v>0</v>
      </c>
      <c r="AE32" s="25">
        <f t="shared" si="53"/>
        <v>1331830.9100000001</v>
      </c>
      <c r="AF32" s="32"/>
      <c r="AG32" s="25">
        <f t="shared" si="54"/>
        <v>1331830.9100000001</v>
      </c>
      <c r="AH32" s="28" t="s">
        <v>627</v>
      </c>
      <c r="AI32" s="32"/>
      <c r="AJ32" s="77">
        <v>0</v>
      </c>
      <c r="AK32" s="39">
        <v>0</v>
      </c>
    </row>
    <row r="33" spans="1:37" ht="151.5" customHeight="1" x14ac:dyDescent="0.25">
      <c r="A33" s="5">
        <v>27</v>
      </c>
      <c r="B33" s="2">
        <v>126302</v>
      </c>
      <c r="C33" s="118">
        <v>521</v>
      </c>
      <c r="D33" s="112" t="s">
        <v>178</v>
      </c>
      <c r="E33" s="7" t="s">
        <v>1018</v>
      </c>
      <c r="F33" s="6" t="s">
        <v>1191</v>
      </c>
      <c r="G33" s="21" t="s">
        <v>1245</v>
      </c>
      <c r="H33" s="21" t="s">
        <v>384</v>
      </c>
      <c r="I33" s="13" t="s">
        <v>187</v>
      </c>
      <c r="J33" s="11" t="s">
        <v>1246</v>
      </c>
      <c r="K33" s="104">
        <v>43447</v>
      </c>
      <c r="L33" s="8">
        <v>44360</v>
      </c>
      <c r="M33" s="4">
        <f t="shared" si="48"/>
        <v>85.000000283587156</v>
      </c>
      <c r="N33" s="2">
        <v>6</v>
      </c>
      <c r="O33" s="2" t="s">
        <v>386</v>
      </c>
      <c r="P33" s="2" t="s">
        <v>386</v>
      </c>
      <c r="Q33" s="23" t="s">
        <v>216</v>
      </c>
      <c r="R33" s="2" t="s">
        <v>36</v>
      </c>
      <c r="S33" s="26">
        <f t="shared" si="49"/>
        <v>2697583.52</v>
      </c>
      <c r="T33" s="25">
        <v>2697583.52</v>
      </c>
      <c r="U33" s="25">
        <v>0</v>
      </c>
      <c r="V33" s="26">
        <f t="shared" si="50"/>
        <v>412571.59</v>
      </c>
      <c r="W33" s="25">
        <v>412571.59</v>
      </c>
      <c r="X33" s="25">
        <v>0</v>
      </c>
      <c r="Y33" s="26">
        <f t="shared" si="51"/>
        <v>63472.55</v>
      </c>
      <c r="Z33" s="25">
        <v>63472.55</v>
      </c>
      <c r="AA33" s="39">
        <v>0</v>
      </c>
      <c r="AB33" s="25">
        <f t="shared" si="52"/>
        <v>0</v>
      </c>
      <c r="AC33" s="25">
        <v>0</v>
      </c>
      <c r="AD33" s="25">
        <v>0</v>
      </c>
      <c r="AE33" s="25">
        <f t="shared" si="53"/>
        <v>3173627.6599999997</v>
      </c>
      <c r="AF33" s="25">
        <v>44744</v>
      </c>
      <c r="AG33" s="25">
        <f t="shared" si="54"/>
        <v>3218371.6599999997</v>
      </c>
      <c r="AH33" s="28" t="s">
        <v>627</v>
      </c>
      <c r="AI33" s="32"/>
      <c r="AJ33" s="77">
        <v>0</v>
      </c>
      <c r="AK33" s="39">
        <v>0</v>
      </c>
    </row>
    <row r="34" spans="1:37" ht="409.5" x14ac:dyDescent="0.25">
      <c r="A34" s="5">
        <v>28</v>
      </c>
      <c r="B34" s="67">
        <v>111300</v>
      </c>
      <c r="C34" s="118">
        <v>123</v>
      </c>
      <c r="D34" s="2" t="s">
        <v>178</v>
      </c>
      <c r="E34" s="7" t="s">
        <v>1018</v>
      </c>
      <c r="F34" s="119" t="s">
        <v>366</v>
      </c>
      <c r="G34" s="6" t="s">
        <v>301</v>
      </c>
      <c r="H34" s="6" t="s">
        <v>302</v>
      </c>
      <c r="I34" s="13" t="s">
        <v>187</v>
      </c>
      <c r="J34" s="17" t="s">
        <v>303</v>
      </c>
      <c r="K34" s="104">
        <v>43145</v>
      </c>
      <c r="L34" s="8">
        <v>43630</v>
      </c>
      <c r="M34" s="4">
        <f t="shared" ref="M34:M37" si="55">S34/AE34*100</f>
        <v>84.999999881712782</v>
      </c>
      <c r="N34" s="2">
        <v>7</v>
      </c>
      <c r="O34" s="2" t="s">
        <v>304</v>
      </c>
      <c r="P34" s="2" t="s">
        <v>305</v>
      </c>
      <c r="Q34" s="23" t="s">
        <v>216</v>
      </c>
      <c r="R34" s="13" t="s">
        <v>36</v>
      </c>
      <c r="S34" s="26">
        <f>T34+U34</f>
        <v>359294.94</v>
      </c>
      <c r="T34" s="120">
        <v>359294.94</v>
      </c>
      <c r="U34" s="26">
        <v>0</v>
      </c>
      <c r="V34" s="26">
        <f t="shared" ref="V34:V80" si="56">W34+X34</f>
        <v>54950.99</v>
      </c>
      <c r="W34" s="120">
        <v>54950.99</v>
      </c>
      <c r="X34" s="26">
        <v>0</v>
      </c>
      <c r="Y34" s="26">
        <v>8454</v>
      </c>
      <c r="Z34" s="25">
        <v>8454</v>
      </c>
      <c r="AA34" s="25">
        <v>0</v>
      </c>
      <c r="AB34" s="25">
        <f t="shared" ref="AB34:AB79" si="57">AC34+AD34</f>
        <v>0</v>
      </c>
      <c r="AC34" s="134">
        <v>0</v>
      </c>
      <c r="AD34" s="134">
        <v>0</v>
      </c>
      <c r="AE34" s="25">
        <v>422699.93</v>
      </c>
      <c r="AF34" s="25">
        <v>0</v>
      </c>
      <c r="AG34" s="25">
        <f>AE34+AF34</f>
        <v>422699.93</v>
      </c>
      <c r="AH34" s="28" t="s">
        <v>627</v>
      </c>
      <c r="AI34" s="72" t="s">
        <v>187</v>
      </c>
      <c r="AJ34" s="39">
        <f>93322.21+32434.3</f>
        <v>125756.51000000001</v>
      </c>
      <c r="AK34" s="29">
        <f>14272.81+4960.54</f>
        <v>19233.349999999999</v>
      </c>
    </row>
    <row r="35" spans="1:37" ht="166.5" customHeight="1" x14ac:dyDescent="0.25">
      <c r="A35" s="2">
        <v>29</v>
      </c>
      <c r="B35" s="67">
        <v>110505</v>
      </c>
      <c r="C35" s="118">
        <v>125</v>
      </c>
      <c r="D35" s="2" t="s">
        <v>174</v>
      </c>
      <c r="E35" s="7" t="s">
        <v>1018</v>
      </c>
      <c r="F35" s="119" t="s">
        <v>366</v>
      </c>
      <c r="G35" s="6" t="s">
        <v>348</v>
      </c>
      <c r="H35" s="6" t="s">
        <v>349</v>
      </c>
      <c r="I35" s="2" t="s">
        <v>187</v>
      </c>
      <c r="J35" s="11" t="s">
        <v>352</v>
      </c>
      <c r="K35" s="104">
        <v>43173</v>
      </c>
      <c r="L35" s="8">
        <v>43660</v>
      </c>
      <c r="M35" s="4">
        <f t="shared" si="55"/>
        <v>84.99999981945335</v>
      </c>
      <c r="N35" s="2">
        <v>7</v>
      </c>
      <c r="O35" s="2" t="s">
        <v>304</v>
      </c>
      <c r="P35" s="2" t="s">
        <v>350</v>
      </c>
      <c r="Q35" s="23" t="s">
        <v>216</v>
      </c>
      <c r="R35" s="2" t="s">
        <v>36</v>
      </c>
      <c r="S35" s="26">
        <f>T35+U35</f>
        <v>470792.44</v>
      </c>
      <c r="T35" s="25">
        <v>470792.44</v>
      </c>
      <c r="U35" s="25">
        <v>0</v>
      </c>
      <c r="V35" s="26">
        <f t="shared" si="56"/>
        <v>72003.55</v>
      </c>
      <c r="W35" s="25">
        <v>72003.55</v>
      </c>
      <c r="X35" s="25">
        <v>0</v>
      </c>
      <c r="Y35" s="26">
        <f>Z35+AA35</f>
        <v>11077.47</v>
      </c>
      <c r="Z35" s="25">
        <v>11077.47</v>
      </c>
      <c r="AA35" s="25">
        <v>0</v>
      </c>
      <c r="AB35" s="25">
        <f t="shared" si="57"/>
        <v>0</v>
      </c>
      <c r="AC35" s="134">
        <v>0</v>
      </c>
      <c r="AD35" s="134">
        <v>0</v>
      </c>
      <c r="AE35" s="25">
        <f>S35+V35+Y35+AB35</f>
        <v>553873.46</v>
      </c>
      <c r="AF35" s="25">
        <v>0</v>
      </c>
      <c r="AG35" s="25">
        <f t="shared" ref="AG35:AG80" si="58">AE35+AF35</f>
        <v>553873.46</v>
      </c>
      <c r="AH35" s="28" t="s">
        <v>627</v>
      </c>
      <c r="AI35" s="72" t="s">
        <v>187</v>
      </c>
      <c r="AJ35" s="39">
        <f>176594.42+66632.22</f>
        <v>243226.64</v>
      </c>
      <c r="AK35" s="29">
        <f>27008.56+10190.81</f>
        <v>37199.370000000003</v>
      </c>
    </row>
    <row r="36" spans="1:37" ht="318.75" customHeight="1" x14ac:dyDescent="0.25">
      <c r="A36" s="5">
        <v>30</v>
      </c>
      <c r="B36" s="67">
        <v>119450</v>
      </c>
      <c r="C36" s="118">
        <v>485</v>
      </c>
      <c r="D36" s="2" t="s">
        <v>178</v>
      </c>
      <c r="E36" s="13" t="s">
        <v>1093</v>
      </c>
      <c r="F36" s="119" t="s">
        <v>584</v>
      </c>
      <c r="G36" s="6" t="s">
        <v>847</v>
      </c>
      <c r="H36" s="6" t="s">
        <v>349</v>
      </c>
      <c r="I36" s="2" t="s">
        <v>187</v>
      </c>
      <c r="J36" s="11" t="s">
        <v>848</v>
      </c>
      <c r="K36" s="104">
        <v>43298</v>
      </c>
      <c r="L36" s="8">
        <v>43786</v>
      </c>
      <c r="M36" s="4">
        <f t="shared" si="55"/>
        <v>85.000002578269815</v>
      </c>
      <c r="N36" s="2">
        <v>7</v>
      </c>
      <c r="O36" s="2" t="s">
        <v>304</v>
      </c>
      <c r="P36" s="2" t="s">
        <v>350</v>
      </c>
      <c r="Q36" s="23" t="s">
        <v>216</v>
      </c>
      <c r="R36" s="2" t="s">
        <v>36</v>
      </c>
      <c r="S36" s="26">
        <f t="shared" ref="S36:S37" si="59">T36+U36</f>
        <v>329678.46000000002</v>
      </c>
      <c r="T36" s="25">
        <v>329678.46000000002</v>
      </c>
      <c r="U36" s="25">
        <v>0</v>
      </c>
      <c r="V36" s="26">
        <f t="shared" si="56"/>
        <v>50421.4</v>
      </c>
      <c r="W36" s="25">
        <v>50421.4</v>
      </c>
      <c r="X36" s="25">
        <v>0</v>
      </c>
      <c r="Y36" s="26">
        <f t="shared" ref="Y36:Y37" si="60">Z36+AA36</f>
        <v>7757.14</v>
      </c>
      <c r="Z36" s="25">
        <v>7757.14</v>
      </c>
      <c r="AA36" s="25">
        <v>0</v>
      </c>
      <c r="AB36" s="25">
        <f t="shared" si="57"/>
        <v>0</v>
      </c>
      <c r="AC36" s="134">
        <v>0</v>
      </c>
      <c r="AD36" s="134">
        <v>0</v>
      </c>
      <c r="AE36" s="25">
        <f t="shared" ref="AE36:AE37" si="61">S36+V36+Y36+AB36</f>
        <v>387857.00000000006</v>
      </c>
      <c r="AF36" s="25">
        <v>0</v>
      </c>
      <c r="AG36" s="25">
        <f t="shared" si="58"/>
        <v>387857.00000000006</v>
      </c>
      <c r="AH36" s="28" t="s">
        <v>627</v>
      </c>
      <c r="AI36" s="72" t="s">
        <v>187</v>
      </c>
      <c r="AJ36" s="39">
        <v>84630.18</v>
      </c>
      <c r="AK36" s="29">
        <v>12943.44</v>
      </c>
    </row>
    <row r="37" spans="1:37" s="136" customFormat="1" ht="409.5" x14ac:dyDescent="0.25">
      <c r="A37" s="5">
        <v>31</v>
      </c>
      <c r="B37" s="123">
        <v>118753</v>
      </c>
      <c r="C37" s="13">
        <v>438</v>
      </c>
      <c r="D37" s="13" t="s">
        <v>892</v>
      </c>
      <c r="E37" s="7" t="s">
        <v>748</v>
      </c>
      <c r="F37" s="135" t="s">
        <v>653</v>
      </c>
      <c r="G37" s="7" t="s">
        <v>1067</v>
      </c>
      <c r="H37" s="7" t="s">
        <v>349</v>
      </c>
      <c r="I37" s="13" t="s">
        <v>187</v>
      </c>
      <c r="J37" s="7" t="s">
        <v>1069</v>
      </c>
      <c r="K37" s="8">
        <v>43348</v>
      </c>
      <c r="L37" s="8">
        <v>43651</v>
      </c>
      <c r="M37" s="16">
        <f t="shared" si="55"/>
        <v>85.000001668065067</v>
      </c>
      <c r="N37" s="2">
        <v>7</v>
      </c>
      <c r="O37" s="2" t="s">
        <v>304</v>
      </c>
      <c r="P37" s="13" t="s">
        <v>1068</v>
      </c>
      <c r="Q37" s="23" t="s">
        <v>216</v>
      </c>
      <c r="R37" s="2" t="s">
        <v>36</v>
      </c>
      <c r="S37" s="26">
        <f t="shared" si="59"/>
        <v>254786.23</v>
      </c>
      <c r="T37" s="39">
        <v>254786.23</v>
      </c>
      <c r="U37" s="25">
        <v>0</v>
      </c>
      <c r="V37" s="26">
        <f t="shared" si="56"/>
        <v>38967.300000000003</v>
      </c>
      <c r="W37" s="39">
        <v>38967.300000000003</v>
      </c>
      <c r="X37" s="25">
        <v>0</v>
      </c>
      <c r="Y37" s="26">
        <f t="shared" si="60"/>
        <v>5994.97</v>
      </c>
      <c r="Z37" s="39">
        <v>5994.97</v>
      </c>
      <c r="AA37" s="39">
        <v>0</v>
      </c>
      <c r="AB37" s="27">
        <f t="shared" si="57"/>
        <v>0</v>
      </c>
      <c r="AC37" s="74">
        <v>0</v>
      </c>
      <c r="AD37" s="74">
        <v>0</v>
      </c>
      <c r="AE37" s="27">
        <f t="shared" si="61"/>
        <v>299748.5</v>
      </c>
      <c r="AF37" s="28">
        <v>0</v>
      </c>
      <c r="AG37" s="27">
        <f t="shared" si="58"/>
        <v>299748.5</v>
      </c>
      <c r="AH37" s="28" t="s">
        <v>627</v>
      </c>
      <c r="AI37" s="72" t="s">
        <v>187</v>
      </c>
      <c r="AJ37" s="39">
        <v>56093.22</v>
      </c>
      <c r="AK37" s="29">
        <v>8578.9599999999991</v>
      </c>
    </row>
    <row r="38" spans="1:37" s="136" customFormat="1" ht="141.75" x14ac:dyDescent="0.25">
      <c r="A38" s="2">
        <v>32</v>
      </c>
      <c r="B38" s="123">
        <v>126380</v>
      </c>
      <c r="C38" s="13">
        <v>567</v>
      </c>
      <c r="D38" s="13" t="s">
        <v>178</v>
      </c>
      <c r="E38" s="7" t="s">
        <v>1018</v>
      </c>
      <c r="F38" s="116" t="s">
        <v>1191</v>
      </c>
      <c r="G38" s="137" t="s">
        <v>1222</v>
      </c>
      <c r="H38" s="6" t="s">
        <v>1224</v>
      </c>
      <c r="I38" s="13" t="s">
        <v>187</v>
      </c>
      <c r="J38" s="7" t="s">
        <v>1223</v>
      </c>
      <c r="K38" s="8">
        <v>43440</v>
      </c>
      <c r="L38" s="8">
        <v>43896</v>
      </c>
      <c r="M38" s="16">
        <f>S38/AE38*100</f>
        <v>85.00000001812522</v>
      </c>
      <c r="N38" s="2">
        <v>8</v>
      </c>
      <c r="O38" s="2" t="s">
        <v>304</v>
      </c>
      <c r="P38" s="13" t="s">
        <v>350</v>
      </c>
      <c r="Q38" s="23" t="s">
        <v>216</v>
      </c>
      <c r="R38" s="2" t="s">
        <v>36</v>
      </c>
      <c r="S38" s="26">
        <f>T38+U38</f>
        <v>2344798.5</v>
      </c>
      <c r="T38" s="39">
        <v>2344798.5</v>
      </c>
      <c r="U38" s="25">
        <v>0</v>
      </c>
      <c r="V38" s="26">
        <f>W38+X38</f>
        <v>358616.24</v>
      </c>
      <c r="W38" s="39">
        <v>358616.24</v>
      </c>
      <c r="X38" s="25">
        <v>0</v>
      </c>
      <c r="Y38" s="26">
        <f>Z38+AA38</f>
        <v>55171.73</v>
      </c>
      <c r="Z38" s="39">
        <v>55171.73</v>
      </c>
      <c r="AA38" s="39">
        <v>0</v>
      </c>
      <c r="AB38" s="27">
        <f>AC38+AD38</f>
        <v>0</v>
      </c>
      <c r="AC38" s="74">
        <v>0</v>
      </c>
      <c r="AD38" s="74">
        <v>0</v>
      </c>
      <c r="AE38" s="27">
        <f>S38+V38+Y38</f>
        <v>2758586.47</v>
      </c>
      <c r="AF38" s="28">
        <v>78540</v>
      </c>
      <c r="AG38" s="27">
        <f>AE38+AF38+AC38</f>
        <v>2837126.47</v>
      </c>
      <c r="AH38" s="28" t="s">
        <v>627</v>
      </c>
      <c r="AI38" s="72"/>
      <c r="AJ38" s="39">
        <v>0</v>
      </c>
      <c r="AK38" s="29">
        <v>0</v>
      </c>
    </row>
    <row r="39" spans="1:37" s="136" customFormat="1" ht="189" x14ac:dyDescent="0.25">
      <c r="A39" s="5">
        <v>33</v>
      </c>
      <c r="B39" s="123">
        <v>126524</v>
      </c>
      <c r="C39" s="13">
        <v>552</v>
      </c>
      <c r="D39" s="13" t="s">
        <v>178</v>
      </c>
      <c r="E39" s="7" t="s">
        <v>1018</v>
      </c>
      <c r="F39" s="116" t="s">
        <v>1191</v>
      </c>
      <c r="G39" s="7" t="s">
        <v>1292</v>
      </c>
      <c r="H39" s="7" t="s">
        <v>1293</v>
      </c>
      <c r="I39" s="13" t="s">
        <v>187</v>
      </c>
      <c r="J39" s="7" t="s">
        <v>1294</v>
      </c>
      <c r="K39" s="8">
        <v>43480</v>
      </c>
      <c r="L39" s="8">
        <v>44027</v>
      </c>
      <c r="M39" s="16">
        <f t="shared" ref="M39" si="62">S39/AE39*100</f>
        <v>84.99999981002415</v>
      </c>
      <c r="N39" s="2">
        <v>8</v>
      </c>
      <c r="O39" s="2" t="s">
        <v>304</v>
      </c>
      <c r="P39" s="13" t="s">
        <v>350</v>
      </c>
      <c r="Q39" s="23" t="s">
        <v>216</v>
      </c>
      <c r="R39" s="2" t="s">
        <v>36</v>
      </c>
      <c r="S39" s="26">
        <f t="shared" ref="S39" si="63">T39+U39</f>
        <v>2460839.27</v>
      </c>
      <c r="T39" s="39">
        <v>2460839.27</v>
      </c>
      <c r="U39" s="25">
        <v>0</v>
      </c>
      <c r="V39" s="26">
        <f t="shared" ref="V39" si="64">W39+X39</f>
        <v>376363.66</v>
      </c>
      <c r="W39" s="39">
        <v>376363.66</v>
      </c>
      <c r="X39" s="25"/>
      <c r="Y39" s="26">
        <f t="shared" ref="Y39" si="65">Z39+AA39</f>
        <v>57902.1</v>
      </c>
      <c r="Z39" s="39">
        <v>57902.1</v>
      </c>
      <c r="AA39" s="39">
        <v>0</v>
      </c>
      <c r="AB39" s="27">
        <f t="shared" ref="AB39" si="66">AC39+AD39</f>
        <v>0</v>
      </c>
      <c r="AC39" s="74">
        <v>0</v>
      </c>
      <c r="AD39" s="74">
        <v>0</v>
      </c>
      <c r="AE39" s="27">
        <f t="shared" ref="AE39" si="67">S39+V39+Y39</f>
        <v>2895105.0300000003</v>
      </c>
      <c r="AF39" s="28"/>
      <c r="AG39" s="27">
        <f t="shared" ref="AG39" si="68">AE39+AF39+AC39</f>
        <v>2895105.0300000003</v>
      </c>
      <c r="AH39" s="28"/>
      <c r="AI39" s="72"/>
      <c r="AJ39" s="39"/>
      <c r="AK39" s="29"/>
    </row>
    <row r="40" spans="1:37" ht="220.5" x14ac:dyDescent="0.25">
      <c r="A40" s="5">
        <v>34</v>
      </c>
      <c r="B40" s="67">
        <v>120503</v>
      </c>
      <c r="C40" s="118">
        <v>80</v>
      </c>
      <c r="D40" s="2" t="s">
        <v>178</v>
      </c>
      <c r="E40" s="7" t="s">
        <v>1018</v>
      </c>
      <c r="F40" s="119" t="s">
        <v>365</v>
      </c>
      <c r="G40" s="138" t="s">
        <v>346</v>
      </c>
      <c r="H40" s="6" t="s">
        <v>345</v>
      </c>
      <c r="I40" s="13" t="s">
        <v>187</v>
      </c>
      <c r="J40" s="11" t="s">
        <v>351</v>
      </c>
      <c r="K40" s="104">
        <v>43173</v>
      </c>
      <c r="L40" s="8">
        <v>43599</v>
      </c>
      <c r="M40" s="4">
        <f t="shared" ref="M40" si="69">S40/AE40*100</f>
        <v>79.999997969650394</v>
      </c>
      <c r="N40" s="2">
        <v>8</v>
      </c>
      <c r="O40" s="2" t="s">
        <v>347</v>
      </c>
      <c r="P40" s="2" t="s">
        <v>156</v>
      </c>
      <c r="Q40" s="23" t="s">
        <v>216</v>
      </c>
      <c r="R40" s="2" t="s">
        <v>36</v>
      </c>
      <c r="S40" s="26">
        <f t="shared" ref="S40:S44" si="70">T40+U40</f>
        <v>315216.64000000001</v>
      </c>
      <c r="T40" s="25">
        <v>0</v>
      </c>
      <c r="U40" s="25">
        <v>315216.64000000001</v>
      </c>
      <c r="V40" s="26">
        <f>W40+X40</f>
        <v>70923.75</v>
      </c>
      <c r="W40" s="25">
        <v>0</v>
      </c>
      <c r="X40" s="25">
        <v>70923.75</v>
      </c>
      <c r="Y40" s="26">
        <f t="shared" ref="Y40:Y44" si="71">Z40+AA40</f>
        <v>7880.42</v>
      </c>
      <c r="Z40" s="25">
        <v>0</v>
      </c>
      <c r="AA40" s="25">
        <v>7880.42</v>
      </c>
      <c r="AB40" s="25">
        <f t="shared" si="57"/>
        <v>0</v>
      </c>
      <c r="AC40" s="134">
        <v>0</v>
      </c>
      <c r="AD40" s="134">
        <v>0</v>
      </c>
      <c r="AE40" s="25">
        <f>S40+V40+Y40+AB40</f>
        <v>394020.81</v>
      </c>
      <c r="AF40" s="25">
        <v>0</v>
      </c>
      <c r="AG40" s="25">
        <f t="shared" si="58"/>
        <v>394020.81</v>
      </c>
      <c r="AH40" s="28" t="s">
        <v>627</v>
      </c>
      <c r="AI40" s="72" t="s">
        <v>187</v>
      </c>
      <c r="AJ40" s="29">
        <f>156760.98+76482.15</f>
        <v>233243.13</v>
      </c>
      <c r="AK40" s="29">
        <f>35271.23+17208.49</f>
        <v>52479.72</v>
      </c>
    </row>
    <row r="41" spans="1:37" ht="240" x14ac:dyDescent="0.25">
      <c r="A41" s="2">
        <v>35</v>
      </c>
      <c r="B41" s="81">
        <v>120710</v>
      </c>
      <c r="C41" s="118">
        <v>103</v>
      </c>
      <c r="D41" s="112" t="s">
        <v>178</v>
      </c>
      <c r="E41" s="7" t="s">
        <v>1018</v>
      </c>
      <c r="F41" s="139" t="s">
        <v>365</v>
      </c>
      <c r="G41" s="140" t="s">
        <v>490</v>
      </c>
      <c r="H41" s="6" t="s">
        <v>491</v>
      </c>
      <c r="I41" s="112" t="s">
        <v>187</v>
      </c>
      <c r="J41" s="51" t="s">
        <v>492</v>
      </c>
      <c r="K41" s="104">
        <v>43227</v>
      </c>
      <c r="L41" s="8">
        <v>43715</v>
      </c>
      <c r="M41" s="4">
        <f>S41/AE41*100</f>
        <v>79.999999056893557</v>
      </c>
      <c r="N41" s="2">
        <v>8</v>
      </c>
      <c r="O41" s="2" t="s">
        <v>347</v>
      </c>
      <c r="P41" s="2" t="s">
        <v>156</v>
      </c>
      <c r="Q41" s="2" t="s">
        <v>216</v>
      </c>
      <c r="R41" s="2" t="s">
        <v>36</v>
      </c>
      <c r="S41" s="26">
        <f t="shared" si="70"/>
        <v>339304.22</v>
      </c>
      <c r="T41" s="141">
        <v>0</v>
      </c>
      <c r="U41" s="142">
        <v>339304.22</v>
      </c>
      <c r="V41" s="49">
        <f t="shared" si="56"/>
        <v>76343.45</v>
      </c>
      <c r="W41" s="141">
        <v>0</v>
      </c>
      <c r="X41" s="142">
        <v>76343.45</v>
      </c>
      <c r="Y41" s="49">
        <f t="shared" si="71"/>
        <v>8482.61</v>
      </c>
      <c r="Z41" s="143">
        <v>0</v>
      </c>
      <c r="AA41" s="25">
        <v>8482.61</v>
      </c>
      <c r="AB41" s="25">
        <f t="shared" si="57"/>
        <v>0</v>
      </c>
      <c r="AC41" s="29">
        <v>0</v>
      </c>
      <c r="AD41" s="29">
        <v>0</v>
      </c>
      <c r="AE41" s="25">
        <f t="shared" ref="AE41:AE44" si="72">S41+V41+Y41+AB41</f>
        <v>424130.27999999997</v>
      </c>
      <c r="AF41" s="32">
        <v>0</v>
      </c>
      <c r="AG41" s="25">
        <f t="shared" si="58"/>
        <v>424130.27999999997</v>
      </c>
      <c r="AH41" s="28" t="s">
        <v>627</v>
      </c>
      <c r="AI41" s="48" t="s">
        <v>187</v>
      </c>
      <c r="AJ41" s="29">
        <v>0</v>
      </c>
      <c r="AK41" s="29">
        <v>0</v>
      </c>
    </row>
    <row r="42" spans="1:37" ht="150" x14ac:dyDescent="0.25">
      <c r="A42" s="5">
        <v>36</v>
      </c>
      <c r="B42" s="81">
        <v>117665</v>
      </c>
      <c r="C42" s="118">
        <v>413</v>
      </c>
      <c r="D42" s="112" t="s">
        <v>727</v>
      </c>
      <c r="E42" s="7" t="s">
        <v>748</v>
      </c>
      <c r="F42" s="7" t="s">
        <v>654</v>
      </c>
      <c r="G42" s="140" t="s">
        <v>801</v>
      </c>
      <c r="H42" s="6" t="s">
        <v>345</v>
      </c>
      <c r="I42" s="112" t="s">
        <v>187</v>
      </c>
      <c r="J42" s="51" t="s">
        <v>802</v>
      </c>
      <c r="K42" s="104">
        <v>43290</v>
      </c>
      <c r="L42" s="8">
        <v>43474</v>
      </c>
      <c r="M42" s="4">
        <f>S42/AE42*100</f>
        <v>80</v>
      </c>
      <c r="N42" s="2">
        <v>8</v>
      </c>
      <c r="O42" s="2" t="s">
        <v>347</v>
      </c>
      <c r="P42" s="2" t="s">
        <v>347</v>
      </c>
      <c r="Q42" s="2" t="s">
        <v>216</v>
      </c>
      <c r="R42" s="2" t="s">
        <v>36</v>
      </c>
      <c r="S42" s="26">
        <f t="shared" si="70"/>
        <v>224534.64</v>
      </c>
      <c r="T42" s="141">
        <v>0</v>
      </c>
      <c r="U42" s="25">
        <v>224534.64</v>
      </c>
      <c r="V42" s="49">
        <f t="shared" si="56"/>
        <v>50520.29</v>
      </c>
      <c r="W42" s="141">
        <v>0</v>
      </c>
      <c r="X42" s="25">
        <v>50520.29</v>
      </c>
      <c r="Y42" s="49">
        <f t="shared" si="71"/>
        <v>5613.37</v>
      </c>
      <c r="Z42" s="143">
        <v>0</v>
      </c>
      <c r="AA42" s="25">
        <v>5613.37</v>
      </c>
      <c r="AB42" s="25">
        <f t="shared" si="57"/>
        <v>0</v>
      </c>
      <c r="AC42" s="29">
        <v>0</v>
      </c>
      <c r="AD42" s="29">
        <v>0</v>
      </c>
      <c r="AE42" s="25">
        <f t="shared" si="72"/>
        <v>280668.3</v>
      </c>
      <c r="AF42" s="32">
        <v>0</v>
      </c>
      <c r="AG42" s="25">
        <f t="shared" si="58"/>
        <v>280668.3</v>
      </c>
      <c r="AH42" s="28" t="s">
        <v>627</v>
      </c>
      <c r="AI42" s="91" t="s">
        <v>1205</v>
      </c>
      <c r="AJ42" s="31">
        <v>0</v>
      </c>
      <c r="AK42" s="29">
        <v>0</v>
      </c>
    </row>
    <row r="43" spans="1:37" ht="141.75" x14ac:dyDescent="0.25">
      <c r="A43" s="5">
        <v>37</v>
      </c>
      <c r="B43" s="67">
        <v>118765</v>
      </c>
      <c r="C43" s="144">
        <v>454</v>
      </c>
      <c r="D43" s="67" t="s">
        <v>163</v>
      </c>
      <c r="E43" s="13" t="s">
        <v>1094</v>
      </c>
      <c r="F43" s="119" t="s">
        <v>546</v>
      </c>
      <c r="G43" s="21" t="s">
        <v>1051</v>
      </c>
      <c r="H43" s="145" t="s">
        <v>1052</v>
      </c>
      <c r="I43" s="13" t="s">
        <v>1053</v>
      </c>
      <c r="J43" s="3" t="s">
        <v>1054</v>
      </c>
      <c r="K43" s="146">
        <v>43348</v>
      </c>
      <c r="L43" s="8">
        <v>44079</v>
      </c>
      <c r="M43" s="4">
        <f t="shared" ref="M43" si="73">S43/AE43*100</f>
        <v>83.983862746396099</v>
      </c>
      <c r="N43" s="140" t="s">
        <v>155</v>
      </c>
      <c r="O43" s="2" t="s">
        <v>347</v>
      </c>
      <c r="P43" s="2" t="s">
        <v>156</v>
      </c>
      <c r="Q43" s="147" t="s">
        <v>157</v>
      </c>
      <c r="R43" s="145" t="s">
        <v>36</v>
      </c>
      <c r="S43" s="25">
        <f t="shared" si="70"/>
        <v>24915549.669999998</v>
      </c>
      <c r="T43" s="25">
        <v>20092220.079999998</v>
      </c>
      <c r="U43" s="25">
        <v>4823329.59</v>
      </c>
      <c r="V43" s="25">
        <f t="shared" si="56"/>
        <v>0</v>
      </c>
      <c r="W43" s="25"/>
      <c r="X43" s="25"/>
      <c r="Y43" s="25">
        <f t="shared" si="71"/>
        <v>4751518.33</v>
      </c>
      <c r="Z43" s="25">
        <v>3545685.87</v>
      </c>
      <c r="AA43" s="25">
        <v>1205832.46</v>
      </c>
      <c r="AB43" s="25">
        <f t="shared" si="57"/>
        <v>0</v>
      </c>
      <c r="AC43" s="25"/>
      <c r="AD43" s="25"/>
      <c r="AE43" s="25">
        <f t="shared" si="72"/>
        <v>29667068</v>
      </c>
      <c r="AF43" s="25"/>
      <c r="AG43" s="25">
        <f t="shared" si="58"/>
        <v>29667068</v>
      </c>
      <c r="AH43" s="30" t="s">
        <v>627</v>
      </c>
      <c r="AI43" s="72" t="s">
        <v>1206</v>
      </c>
      <c r="AJ43" s="29">
        <v>120031.42</v>
      </c>
      <c r="AK43" s="29">
        <v>0</v>
      </c>
    </row>
    <row r="44" spans="1:37" ht="60" customHeight="1" x14ac:dyDescent="0.25">
      <c r="A44" s="2">
        <v>38</v>
      </c>
      <c r="B44" s="81">
        <v>117676</v>
      </c>
      <c r="C44" s="118">
        <v>414</v>
      </c>
      <c r="D44" s="112" t="s">
        <v>741</v>
      </c>
      <c r="E44" s="7" t="s">
        <v>748</v>
      </c>
      <c r="F44" s="119" t="s">
        <v>654</v>
      </c>
      <c r="G44" s="140" t="s">
        <v>1070</v>
      </c>
      <c r="H44" s="6" t="s">
        <v>1071</v>
      </c>
      <c r="I44" s="112" t="s">
        <v>187</v>
      </c>
      <c r="J44" s="51" t="s">
        <v>1072</v>
      </c>
      <c r="K44" s="104">
        <v>43348</v>
      </c>
      <c r="L44" s="8">
        <v>43713</v>
      </c>
      <c r="M44" s="4">
        <f t="shared" ref="M44:M45" si="74">S44/AE44*100</f>
        <v>80.000002000969275</v>
      </c>
      <c r="N44" s="2">
        <v>8</v>
      </c>
      <c r="O44" s="2" t="s">
        <v>347</v>
      </c>
      <c r="P44" s="2" t="s">
        <v>156</v>
      </c>
      <c r="Q44" s="2" t="s">
        <v>216</v>
      </c>
      <c r="R44" s="2" t="s">
        <v>36</v>
      </c>
      <c r="S44" s="26">
        <f t="shared" si="70"/>
        <v>239883.75</v>
      </c>
      <c r="T44" s="143">
        <v>0</v>
      </c>
      <c r="U44" s="25">
        <v>239883.75</v>
      </c>
      <c r="V44" s="49">
        <f t="shared" si="56"/>
        <v>53973.85</v>
      </c>
      <c r="W44" s="143">
        <v>0</v>
      </c>
      <c r="X44" s="25">
        <v>53973.85</v>
      </c>
      <c r="Y44" s="49">
        <f t="shared" si="71"/>
        <v>5997.08</v>
      </c>
      <c r="Z44" s="143">
        <v>0</v>
      </c>
      <c r="AA44" s="25">
        <v>5997.08</v>
      </c>
      <c r="AB44" s="25">
        <f t="shared" si="57"/>
        <v>0</v>
      </c>
      <c r="AC44" s="33">
        <v>0</v>
      </c>
      <c r="AD44" s="33">
        <v>0</v>
      </c>
      <c r="AE44" s="25">
        <f t="shared" si="72"/>
        <v>299854.68</v>
      </c>
      <c r="AF44" s="32">
        <v>0</v>
      </c>
      <c r="AG44" s="25">
        <f t="shared" si="58"/>
        <v>299854.68</v>
      </c>
      <c r="AH44" s="28" t="s">
        <v>627</v>
      </c>
      <c r="AI44" s="32"/>
      <c r="AJ44" s="31">
        <v>39088.01</v>
      </c>
      <c r="AK44" s="31">
        <v>8794.7999999999993</v>
      </c>
    </row>
    <row r="45" spans="1:37" ht="120" customHeight="1" x14ac:dyDescent="0.25">
      <c r="A45" s="5">
        <v>39</v>
      </c>
      <c r="B45" s="81">
        <v>126477</v>
      </c>
      <c r="C45" s="118">
        <v>507</v>
      </c>
      <c r="D45" s="112" t="s">
        <v>689</v>
      </c>
      <c r="E45" s="7" t="s">
        <v>1018</v>
      </c>
      <c r="F45" s="119" t="s">
        <v>1198</v>
      </c>
      <c r="G45" s="140" t="s">
        <v>1199</v>
      </c>
      <c r="H45" s="6" t="s">
        <v>1200</v>
      </c>
      <c r="I45" s="112" t="s">
        <v>459</v>
      </c>
      <c r="J45" s="51" t="s">
        <v>1201</v>
      </c>
      <c r="K45" s="104">
        <v>43433</v>
      </c>
      <c r="L45" s="8">
        <v>43980</v>
      </c>
      <c r="M45" s="4">
        <f t="shared" si="74"/>
        <v>79.999999536713688</v>
      </c>
      <c r="N45" s="2">
        <v>8</v>
      </c>
      <c r="O45" s="2" t="s">
        <v>347</v>
      </c>
      <c r="P45" s="2" t="s">
        <v>347</v>
      </c>
      <c r="Q45" s="2" t="s">
        <v>216</v>
      </c>
      <c r="R45" s="2" t="s">
        <v>36</v>
      </c>
      <c r="S45" s="26">
        <f>T45+U45</f>
        <v>3108229.07</v>
      </c>
      <c r="T45" s="143"/>
      <c r="U45" s="25">
        <v>3108229.07</v>
      </c>
      <c r="V45" s="49">
        <f>W45+X45</f>
        <v>699351.56</v>
      </c>
      <c r="W45" s="143"/>
      <c r="X45" s="25">
        <v>699351.56</v>
      </c>
      <c r="Y45" s="49">
        <f>Z45+AA45</f>
        <v>77705.73</v>
      </c>
      <c r="Z45" s="143"/>
      <c r="AA45" s="25">
        <v>77705.73</v>
      </c>
      <c r="AB45" s="25">
        <f>AC45+AD45</f>
        <v>0</v>
      </c>
      <c r="AC45" s="33"/>
      <c r="AD45" s="33"/>
      <c r="AE45" s="25">
        <f>S45+V45+Y45+AB45</f>
        <v>3885286.36</v>
      </c>
      <c r="AF45" s="32"/>
      <c r="AG45" s="25">
        <f>AE45+AF45</f>
        <v>3885286.36</v>
      </c>
      <c r="AH45" s="28" t="s">
        <v>627</v>
      </c>
      <c r="AI45" s="32" t="s">
        <v>187</v>
      </c>
      <c r="AJ45" s="31">
        <v>0</v>
      </c>
      <c r="AK45" s="31">
        <v>0</v>
      </c>
    </row>
    <row r="46" spans="1:37" ht="60" customHeight="1" x14ac:dyDescent="0.25">
      <c r="A46" s="5">
        <v>40</v>
      </c>
      <c r="B46" s="81">
        <v>126372</v>
      </c>
      <c r="C46" s="118">
        <v>510</v>
      </c>
      <c r="D46" s="112" t="s">
        <v>689</v>
      </c>
      <c r="E46" s="7" t="s">
        <v>1018</v>
      </c>
      <c r="F46" s="119" t="s">
        <v>1198</v>
      </c>
      <c r="G46" s="140" t="s">
        <v>1231</v>
      </c>
      <c r="H46" s="6" t="s">
        <v>1232</v>
      </c>
      <c r="I46" s="112" t="s">
        <v>459</v>
      </c>
      <c r="J46" s="51" t="s">
        <v>1233</v>
      </c>
      <c r="K46" s="104">
        <v>43445</v>
      </c>
      <c r="L46" s="8">
        <v>44358</v>
      </c>
      <c r="M46" s="4">
        <f>S46/AE46*100</f>
        <v>80</v>
      </c>
      <c r="N46" s="2">
        <v>8</v>
      </c>
      <c r="O46" s="2" t="s">
        <v>347</v>
      </c>
      <c r="P46" s="2" t="s">
        <v>347</v>
      </c>
      <c r="Q46" s="2" t="s">
        <v>216</v>
      </c>
      <c r="R46" s="2" t="s">
        <v>36</v>
      </c>
      <c r="S46" s="26">
        <f>T46+U46</f>
        <v>2932376.8</v>
      </c>
      <c r="T46" s="143">
        <v>0</v>
      </c>
      <c r="U46" s="25">
        <v>2932376.8</v>
      </c>
      <c r="V46" s="49">
        <f>W46+X46</f>
        <v>659784.78</v>
      </c>
      <c r="W46" s="143">
        <v>0</v>
      </c>
      <c r="X46" s="25">
        <v>659784.78</v>
      </c>
      <c r="Y46" s="49">
        <f>Z46+AA46</f>
        <v>73309.42</v>
      </c>
      <c r="Z46" s="143">
        <v>0</v>
      </c>
      <c r="AA46" s="25">
        <v>73309.42</v>
      </c>
      <c r="AB46" s="25">
        <f>AC46+AD46</f>
        <v>0</v>
      </c>
      <c r="AC46" s="29">
        <v>0</v>
      </c>
      <c r="AD46" s="29">
        <v>0</v>
      </c>
      <c r="AE46" s="25">
        <f>S46+V46+Y46+AB46</f>
        <v>3665471</v>
      </c>
      <c r="AF46" s="93">
        <v>127687</v>
      </c>
      <c r="AG46" s="25">
        <f>AE46+AF46</f>
        <v>3793158</v>
      </c>
      <c r="AH46" s="28" t="s">
        <v>627</v>
      </c>
      <c r="AI46" s="32" t="s">
        <v>187</v>
      </c>
      <c r="AJ46" s="31"/>
      <c r="AK46" s="31"/>
    </row>
    <row r="47" spans="1:37" ht="315" x14ac:dyDescent="0.25">
      <c r="A47" s="2">
        <v>41</v>
      </c>
      <c r="B47" s="81">
        <v>118335</v>
      </c>
      <c r="C47" s="81">
        <v>427</v>
      </c>
      <c r="D47" s="81" t="s">
        <v>643</v>
      </c>
      <c r="E47" s="7" t="s">
        <v>748</v>
      </c>
      <c r="F47" s="119" t="s">
        <v>653</v>
      </c>
      <c r="G47" s="148" t="s">
        <v>733</v>
      </c>
      <c r="H47" s="6" t="s">
        <v>734</v>
      </c>
      <c r="I47" s="112" t="s">
        <v>187</v>
      </c>
      <c r="J47" s="51" t="s">
        <v>740</v>
      </c>
      <c r="K47" s="104">
        <v>43284</v>
      </c>
      <c r="L47" s="8">
        <v>43711</v>
      </c>
      <c r="M47" s="4">
        <f t="shared" ref="M47:M53" si="75">S47/AE47*100</f>
        <v>85.000001406005254</v>
      </c>
      <c r="N47" s="2">
        <v>2</v>
      </c>
      <c r="O47" s="2" t="s">
        <v>735</v>
      </c>
      <c r="P47" s="2" t="s">
        <v>735</v>
      </c>
      <c r="Q47" s="2" t="s">
        <v>216</v>
      </c>
      <c r="R47" s="2" t="s">
        <v>36</v>
      </c>
      <c r="S47" s="26">
        <v>241819.87</v>
      </c>
      <c r="T47" s="25">
        <v>241819.87</v>
      </c>
      <c r="U47" s="29">
        <v>0</v>
      </c>
      <c r="V47" s="26">
        <v>36984.22</v>
      </c>
      <c r="W47" s="25">
        <v>36984.22</v>
      </c>
      <c r="X47" s="33">
        <v>0</v>
      </c>
      <c r="Y47" s="26">
        <v>5689.87</v>
      </c>
      <c r="Z47" s="25">
        <v>5689.87</v>
      </c>
      <c r="AA47" s="29">
        <v>0</v>
      </c>
      <c r="AB47" s="25">
        <f t="shared" si="57"/>
        <v>0</v>
      </c>
      <c r="AC47" s="29">
        <v>0</v>
      </c>
      <c r="AD47" s="29">
        <v>0</v>
      </c>
      <c r="AE47" s="25">
        <f t="shared" ref="AE47:AE50" si="76">S47+V47+Y47+AB47</f>
        <v>284493.95999999996</v>
      </c>
      <c r="AF47" s="32">
        <v>0</v>
      </c>
      <c r="AG47" s="25">
        <f t="shared" si="58"/>
        <v>284493.95999999996</v>
      </c>
      <c r="AH47" s="28" t="s">
        <v>627</v>
      </c>
      <c r="AI47" s="32"/>
      <c r="AJ47" s="31">
        <v>13721.01</v>
      </c>
      <c r="AK47" s="31">
        <v>2098.5</v>
      </c>
    </row>
    <row r="48" spans="1:37" ht="393.75" x14ac:dyDescent="0.25">
      <c r="A48" s="5">
        <v>42</v>
      </c>
      <c r="B48" s="81">
        <v>118396</v>
      </c>
      <c r="C48" s="81">
        <v>428</v>
      </c>
      <c r="D48" s="81" t="s">
        <v>643</v>
      </c>
      <c r="E48" s="7" t="s">
        <v>748</v>
      </c>
      <c r="F48" s="119" t="s">
        <v>653</v>
      </c>
      <c r="G48" s="78" t="s">
        <v>908</v>
      </c>
      <c r="H48" s="6" t="s">
        <v>909</v>
      </c>
      <c r="I48" s="2" t="s">
        <v>855</v>
      </c>
      <c r="J48" s="79" t="s">
        <v>910</v>
      </c>
      <c r="K48" s="104">
        <v>43312</v>
      </c>
      <c r="L48" s="8">
        <v>43799</v>
      </c>
      <c r="M48" s="4">
        <f t="shared" si="75"/>
        <v>84.20987828497924</v>
      </c>
      <c r="N48" s="80">
        <v>2</v>
      </c>
      <c r="O48" s="2" t="s">
        <v>735</v>
      </c>
      <c r="P48" s="2" t="s">
        <v>735</v>
      </c>
      <c r="Q48" s="2" t="s">
        <v>216</v>
      </c>
      <c r="R48" s="2" t="s">
        <v>36</v>
      </c>
      <c r="S48" s="29">
        <f>T48</f>
        <v>326851.75</v>
      </c>
      <c r="T48" s="29">
        <v>326851.75</v>
      </c>
      <c r="U48" s="29">
        <v>0</v>
      </c>
      <c r="V48" s="26">
        <f t="shared" si="56"/>
        <v>53524.9</v>
      </c>
      <c r="W48" s="29">
        <v>53524.9</v>
      </c>
      <c r="X48" s="29">
        <v>0</v>
      </c>
      <c r="Y48" s="29">
        <f>Z48+AA48</f>
        <v>7762.79</v>
      </c>
      <c r="Z48" s="29">
        <v>7762.79</v>
      </c>
      <c r="AA48" s="29">
        <v>0</v>
      </c>
      <c r="AB48" s="25">
        <f t="shared" si="57"/>
        <v>0</v>
      </c>
      <c r="AC48" s="29">
        <v>0</v>
      </c>
      <c r="AD48" s="29">
        <v>0</v>
      </c>
      <c r="AE48" s="25">
        <f t="shared" si="76"/>
        <v>388139.44</v>
      </c>
      <c r="AF48" s="32">
        <v>0</v>
      </c>
      <c r="AG48" s="25">
        <f t="shared" si="58"/>
        <v>388139.44</v>
      </c>
      <c r="AH48" s="28" t="s">
        <v>627</v>
      </c>
      <c r="AI48" s="32"/>
      <c r="AJ48" s="31">
        <v>38178.44</v>
      </c>
      <c r="AK48" s="31">
        <v>3425.9</v>
      </c>
    </row>
    <row r="49" spans="1:37" ht="189" x14ac:dyDescent="0.25">
      <c r="A49" s="5">
        <v>43</v>
      </c>
      <c r="B49" s="67">
        <v>119892</v>
      </c>
      <c r="C49" s="144">
        <v>480</v>
      </c>
      <c r="D49" s="67" t="s">
        <v>168</v>
      </c>
      <c r="E49" s="13" t="s">
        <v>1093</v>
      </c>
      <c r="F49" s="119" t="s">
        <v>584</v>
      </c>
      <c r="G49" s="83" t="s">
        <v>1151</v>
      </c>
      <c r="H49" s="20" t="s">
        <v>1152</v>
      </c>
      <c r="I49" s="13" t="s">
        <v>459</v>
      </c>
      <c r="J49" s="92" t="s">
        <v>1153</v>
      </c>
      <c r="K49" s="109">
        <v>43389</v>
      </c>
      <c r="L49" s="8">
        <v>43661</v>
      </c>
      <c r="M49" s="4">
        <f t="shared" si="75"/>
        <v>85.000001891187381</v>
      </c>
      <c r="N49" s="67">
        <v>2</v>
      </c>
      <c r="O49" s="13" t="s">
        <v>1155</v>
      </c>
      <c r="P49" s="2" t="s">
        <v>1154</v>
      </c>
      <c r="Q49" s="83" t="s">
        <v>216</v>
      </c>
      <c r="R49" s="84" t="s">
        <v>588</v>
      </c>
      <c r="S49" s="149">
        <f>T49+U49</f>
        <v>337089.82</v>
      </c>
      <c r="T49" s="29">
        <v>337089.82</v>
      </c>
      <c r="U49" s="29">
        <v>0</v>
      </c>
      <c r="V49" s="26">
        <f t="shared" si="56"/>
        <v>51554.91</v>
      </c>
      <c r="W49" s="25">
        <v>51554.91</v>
      </c>
      <c r="X49" s="67">
        <v>0</v>
      </c>
      <c r="Y49" s="96">
        <f>Z49+AA49</f>
        <v>7931.52</v>
      </c>
      <c r="Z49" s="150">
        <v>7931.52</v>
      </c>
      <c r="AA49" s="29">
        <v>0</v>
      </c>
      <c r="AB49" s="84">
        <v>0</v>
      </c>
      <c r="AC49" s="13">
        <v>0</v>
      </c>
      <c r="AD49" s="29">
        <v>0</v>
      </c>
      <c r="AE49" s="25">
        <f t="shared" si="76"/>
        <v>396576.25</v>
      </c>
      <c r="AF49" s="67">
        <v>0</v>
      </c>
      <c r="AG49" s="25">
        <f t="shared" si="58"/>
        <v>396576.25</v>
      </c>
      <c r="AH49" s="67" t="s">
        <v>627</v>
      </c>
      <c r="AI49" s="32"/>
      <c r="AJ49" s="97">
        <v>0</v>
      </c>
      <c r="AK49" s="38">
        <v>0</v>
      </c>
    </row>
    <row r="50" spans="1:37" ht="173.25" x14ac:dyDescent="0.25">
      <c r="A50" s="2">
        <v>44</v>
      </c>
      <c r="B50" s="67">
        <v>126446</v>
      </c>
      <c r="C50" s="144">
        <v>543</v>
      </c>
      <c r="D50" s="67" t="s">
        <v>175</v>
      </c>
      <c r="E50" s="13" t="s">
        <v>1018</v>
      </c>
      <c r="F50" s="119" t="s">
        <v>1191</v>
      </c>
      <c r="G50" s="7" t="s">
        <v>1194</v>
      </c>
      <c r="H50" s="20" t="s">
        <v>1152</v>
      </c>
      <c r="I50" s="13" t="s">
        <v>459</v>
      </c>
      <c r="J50" s="92" t="s">
        <v>1195</v>
      </c>
      <c r="K50" s="108">
        <v>43430</v>
      </c>
      <c r="L50" s="8">
        <v>44253</v>
      </c>
      <c r="M50" s="4">
        <f t="shared" si="75"/>
        <v>85.000000017455704</v>
      </c>
      <c r="N50" s="67">
        <v>2</v>
      </c>
      <c r="O50" s="13" t="s">
        <v>1155</v>
      </c>
      <c r="P50" s="2" t="s">
        <v>1154</v>
      </c>
      <c r="Q50" s="83" t="s">
        <v>216</v>
      </c>
      <c r="R50" s="84" t="s">
        <v>588</v>
      </c>
      <c r="S50" s="149">
        <f t="shared" ref="S50" si="77">T50+U50</f>
        <v>2434734.11</v>
      </c>
      <c r="T50" s="29">
        <v>2434734.11</v>
      </c>
      <c r="U50" s="29">
        <v>0</v>
      </c>
      <c r="V50" s="26">
        <f t="shared" si="56"/>
        <v>372371.1</v>
      </c>
      <c r="W50" s="25">
        <v>372371.1</v>
      </c>
      <c r="X50" s="67">
        <v>0</v>
      </c>
      <c r="Y50" s="96">
        <f t="shared" ref="Y50" si="78">Z50+AA50</f>
        <v>57287.86</v>
      </c>
      <c r="Z50" s="150">
        <v>57287.86</v>
      </c>
      <c r="AA50" s="29">
        <v>0</v>
      </c>
      <c r="AB50" s="25">
        <f t="shared" si="57"/>
        <v>0</v>
      </c>
      <c r="AC50" s="29">
        <v>0</v>
      </c>
      <c r="AD50" s="29">
        <v>0</v>
      </c>
      <c r="AE50" s="25">
        <f t="shared" si="76"/>
        <v>2864393.07</v>
      </c>
      <c r="AF50" s="67"/>
      <c r="AG50" s="25">
        <f t="shared" si="58"/>
        <v>2864393.07</v>
      </c>
      <c r="AH50" s="67" t="s">
        <v>627</v>
      </c>
      <c r="AI50" s="32"/>
      <c r="AJ50" s="77">
        <v>0</v>
      </c>
      <c r="AK50" s="39">
        <v>0</v>
      </c>
    </row>
    <row r="51" spans="1:37" ht="283.5" x14ac:dyDescent="0.25">
      <c r="A51" s="5">
        <v>45</v>
      </c>
      <c r="B51" s="67">
        <v>118879</v>
      </c>
      <c r="C51" s="13">
        <v>452</v>
      </c>
      <c r="D51" s="2" t="s">
        <v>741</v>
      </c>
      <c r="E51" s="7" t="s">
        <v>748</v>
      </c>
      <c r="F51" s="119" t="s">
        <v>653</v>
      </c>
      <c r="G51" s="7" t="s">
        <v>850</v>
      </c>
      <c r="H51" s="13" t="s">
        <v>851</v>
      </c>
      <c r="I51" s="13" t="s">
        <v>187</v>
      </c>
      <c r="J51" s="7" t="s">
        <v>852</v>
      </c>
      <c r="K51" s="104">
        <v>43293</v>
      </c>
      <c r="L51" s="8">
        <v>43616</v>
      </c>
      <c r="M51" s="4">
        <f t="shared" si="75"/>
        <v>85.000000000000014</v>
      </c>
      <c r="N51" s="13">
        <v>3</v>
      </c>
      <c r="O51" s="13" t="s">
        <v>465</v>
      </c>
      <c r="P51" s="13" t="s">
        <v>465</v>
      </c>
      <c r="Q51" s="13" t="s">
        <v>216</v>
      </c>
      <c r="R51" s="2" t="s">
        <v>36</v>
      </c>
      <c r="S51" s="39">
        <v>338205.65</v>
      </c>
      <c r="T51" s="39">
        <v>338205.65</v>
      </c>
      <c r="U51" s="29">
        <v>0</v>
      </c>
      <c r="V51" s="26">
        <v>51725.57</v>
      </c>
      <c r="W51" s="39">
        <v>51725.57</v>
      </c>
      <c r="X51" s="29">
        <v>0</v>
      </c>
      <c r="Y51" s="74">
        <v>7957.78</v>
      </c>
      <c r="Z51" s="39">
        <v>7957.78</v>
      </c>
      <c r="AA51" s="39">
        <v>0</v>
      </c>
      <c r="AB51" s="25">
        <v>0</v>
      </c>
      <c r="AC51" s="29">
        <v>0</v>
      </c>
      <c r="AD51" s="29">
        <v>0</v>
      </c>
      <c r="AE51" s="29">
        <v>397889</v>
      </c>
      <c r="AF51" s="30">
        <v>0</v>
      </c>
      <c r="AG51" s="29">
        <v>397889</v>
      </c>
      <c r="AH51" s="28" t="s">
        <v>627</v>
      </c>
      <c r="AI51" s="91" t="s">
        <v>187</v>
      </c>
      <c r="AJ51" s="31">
        <v>67994.820000000007</v>
      </c>
      <c r="AK51" s="31">
        <v>10399.209999999999</v>
      </c>
    </row>
    <row r="52" spans="1:37" ht="173.25" x14ac:dyDescent="0.25">
      <c r="A52" s="5">
        <v>46</v>
      </c>
      <c r="B52" s="81">
        <v>118774</v>
      </c>
      <c r="C52" s="118">
        <v>442</v>
      </c>
      <c r="D52" s="112" t="s">
        <v>643</v>
      </c>
      <c r="E52" s="7" t="s">
        <v>748</v>
      </c>
      <c r="F52" s="119" t="s">
        <v>653</v>
      </c>
      <c r="G52" s="7" t="s">
        <v>1028</v>
      </c>
      <c r="H52" s="13" t="s">
        <v>1029</v>
      </c>
      <c r="I52" s="112"/>
      <c r="J52" s="7" t="s">
        <v>1133</v>
      </c>
      <c r="K52" s="104">
        <v>43341</v>
      </c>
      <c r="L52" s="8">
        <v>43798</v>
      </c>
      <c r="M52" s="4">
        <v>85</v>
      </c>
      <c r="N52" s="112">
        <v>3</v>
      </c>
      <c r="O52" s="13" t="s">
        <v>465</v>
      </c>
      <c r="P52" s="13" t="s">
        <v>465</v>
      </c>
      <c r="Q52" s="13" t="s">
        <v>216</v>
      </c>
      <c r="R52" s="2" t="s">
        <v>36</v>
      </c>
      <c r="S52" s="29">
        <f>T52+U52</f>
        <v>220497.36</v>
      </c>
      <c r="T52" s="29">
        <v>220497.36</v>
      </c>
      <c r="U52" s="29">
        <v>0</v>
      </c>
      <c r="V52" s="26">
        <v>33723.14</v>
      </c>
      <c r="W52" s="151">
        <v>33723.14</v>
      </c>
      <c r="X52" s="29">
        <v>0</v>
      </c>
      <c r="Y52" s="29">
        <v>5188.17</v>
      </c>
      <c r="Z52" s="29">
        <v>5188.17</v>
      </c>
      <c r="AA52" s="39">
        <v>0</v>
      </c>
      <c r="AB52" s="25">
        <f t="shared" si="57"/>
        <v>0</v>
      </c>
      <c r="AC52" s="29">
        <v>0</v>
      </c>
      <c r="AD52" s="29">
        <v>0</v>
      </c>
      <c r="AE52" s="25">
        <f t="shared" ref="AE52:AE53" si="79">S52+V52+Y52+AB52</f>
        <v>259408.67</v>
      </c>
      <c r="AF52" s="32"/>
      <c r="AG52" s="25">
        <f t="shared" si="58"/>
        <v>259408.67</v>
      </c>
      <c r="AH52" s="28" t="s">
        <v>627</v>
      </c>
      <c r="AI52" s="91" t="s">
        <v>187</v>
      </c>
      <c r="AJ52" s="31">
        <v>51023.72</v>
      </c>
      <c r="AK52" s="31">
        <v>7803.63</v>
      </c>
    </row>
    <row r="53" spans="1:37" ht="112.5" customHeight="1" x14ac:dyDescent="0.25">
      <c r="A53" s="2">
        <v>47</v>
      </c>
      <c r="B53" s="81">
        <v>119901</v>
      </c>
      <c r="C53" s="118">
        <v>486</v>
      </c>
      <c r="D53" s="112" t="s">
        <v>168</v>
      </c>
      <c r="E53" s="112" t="s">
        <v>1093</v>
      </c>
      <c r="F53" s="116" t="s">
        <v>584</v>
      </c>
      <c r="G53" s="116" t="s">
        <v>1165</v>
      </c>
      <c r="H53" s="13" t="s">
        <v>851</v>
      </c>
      <c r="I53" s="112" t="s">
        <v>459</v>
      </c>
      <c r="J53" s="92" t="s">
        <v>1166</v>
      </c>
      <c r="K53" s="8">
        <v>43377</v>
      </c>
      <c r="L53" s="8">
        <v>43864</v>
      </c>
      <c r="M53" s="4">
        <f t="shared" si="75"/>
        <v>85.000004041383775</v>
      </c>
      <c r="N53" s="112">
        <v>3</v>
      </c>
      <c r="O53" s="112" t="s">
        <v>465</v>
      </c>
      <c r="P53" s="112" t="s">
        <v>1167</v>
      </c>
      <c r="Q53" s="112" t="s">
        <v>216</v>
      </c>
      <c r="R53" s="112" t="s">
        <v>588</v>
      </c>
      <c r="S53" s="29">
        <f>T53+U53</f>
        <v>420648.02</v>
      </c>
      <c r="T53" s="29">
        <v>420648.02</v>
      </c>
      <c r="U53" s="33">
        <v>0</v>
      </c>
      <c r="V53" s="26">
        <f>W53+X53</f>
        <v>64334.38</v>
      </c>
      <c r="W53" s="152">
        <v>64334.38</v>
      </c>
      <c r="X53" s="33">
        <v>0</v>
      </c>
      <c r="Y53" s="38">
        <f>Z52:Z53+AA53</f>
        <v>9897.6</v>
      </c>
      <c r="Z53" s="38">
        <v>9897.6</v>
      </c>
      <c r="AA53" s="38">
        <v>0</v>
      </c>
      <c r="AB53" s="25">
        <f t="shared" si="57"/>
        <v>0</v>
      </c>
      <c r="AC53" s="33">
        <v>0</v>
      </c>
      <c r="AD53" s="33">
        <v>0</v>
      </c>
      <c r="AE53" s="25">
        <f t="shared" si="79"/>
        <v>494880</v>
      </c>
      <c r="AF53" s="32"/>
      <c r="AG53" s="25">
        <f t="shared" si="58"/>
        <v>494880</v>
      </c>
      <c r="AH53" s="28" t="s">
        <v>920</v>
      </c>
      <c r="AI53" s="32"/>
      <c r="AJ53" s="97">
        <v>49488</v>
      </c>
      <c r="AK53" s="38">
        <v>0</v>
      </c>
    </row>
    <row r="54" spans="1:37" ht="195" x14ac:dyDescent="0.25">
      <c r="A54" s="5">
        <v>48</v>
      </c>
      <c r="B54" s="81">
        <v>120791</v>
      </c>
      <c r="C54" s="118">
        <v>88</v>
      </c>
      <c r="D54" s="2" t="s">
        <v>178</v>
      </c>
      <c r="E54" s="7" t="s">
        <v>1018</v>
      </c>
      <c r="F54" s="119" t="s">
        <v>366</v>
      </c>
      <c r="G54" s="148" t="s">
        <v>371</v>
      </c>
      <c r="H54" s="6" t="s">
        <v>372</v>
      </c>
      <c r="I54" s="153" t="s">
        <v>373</v>
      </c>
      <c r="J54" s="51" t="s">
        <v>374</v>
      </c>
      <c r="K54" s="104">
        <v>43180</v>
      </c>
      <c r="L54" s="8">
        <v>43667</v>
      </c>
      <c r="M54" s="4">
        <f t="shared" ref="M54" si="80">S54/AE54*100</f>
        <v>84.174275146898083</v>
      </c>
      <c r="N54" s="2">
        <v>5</v>
      </c>
      <c r="O54" s="2" t="s">
        <v>375</v>
      </c>
      <c r="P54" s="2" t="s">
        <v>376</v>
      </c>
      <c r="Q54" s="23" t="s">
        <v>216</v>
      </c>
      <c r="R54" s="2" t="s">
        <v>36</v>
      </c>
      <c r="S54" s="26">
        <f t="shared" ref="S54" si="81">T54+U54</f>
        <v>316573.06</v>
      </c>
      <c r="T54" s="25">
        <v>316573.06</v>
      </c>
      <c r="U54" s="25">
        <v>0</v>
      </c>
      <c r="V54" s="26">
        <f t="shared" si="56"/>
        <v>51997.5</v>
      </c>
      <c r="W54" s="25">
        <v>51997.5</v>
      </c>
      <c r="X54" s="25">
        <v>0</v>
      </c>
      <c r="Y54" s="26">
        <f>Z54+AA54</f>
        <v>7521.85</v>
      </c>
      <c r="Z54" s="25">
        <v>7521.85</v>
      </c>
      <c r="AA54" s="25">
        <v>0</v>
      </c>
      <c r="AB54" s="25">
        <f t="shared" si="57"/>
        <v>0</v>
      </c>
      <c r="AC54" s="25"/>
      <c r="AD54" s="25"/>
      <c r="AE54" s="25">
        <f>S54+V54+Y54+AB54</f>
        <v>376092.41</v>
      </c>
      <c r="AF54" s="25">
        <v>0</v>
      </c>
      <c r="AG54" s="25">
        <f t="shared" si="58"/>
        <v>376092.41</v>
      </c>
      <c r="AH54" s="28" t="s">
        <v>627</v>
      </c>
      <c r="AI54" s="72" t="s">
        <v>187</v>
      </c>
      <c r="AJ54" s="39">
        <f>82700.83+16407.5</f>
        <v>99108.33</v>
      </c>
      <c r="AK54" s="29">
        <f>10873.44+2461.12</f>
        <v>13334.560000000001</v>
      </c>
    </row>
    <row r="55" spans="1:37" ht="220.5" x14ac:dyDescent="0.25">
      <c r="A55" s="5">
        <v>49</v>
      </c>
      <c r="B55" s="67">
        <v>120583</v>
      </c>
      <c r="C55" s="118">
        <v>77</v>
      </c>
      <c r="D55" s="2" t="s">
        <v>175</v>
      </c>
      <c r="E55" s="7" t="s">
        <v>1018</v>
      </c>
      <c r="F55" s="119" t="s">
        <v>366</v>
      </c>
      <c r="G55" s="6" t="s">
        <v>218</v>
      </c>
      <c r="H55" s="6" t="s">
        <v>221</v>
      </c>
      <c r="I55" s="2" t="s">
        <v>187</v>
      </c>
      <c r="J55" s="3" t="s">
        <v>224</v>
      </c>
      <c r="K55" s="104">
        <v>43126</v>
      </c>
      <c r="L55" s="8">
        <v>43369</v>
      </c>
      <c r="M55" s="4">
        <f t="shared" ref="M55:M58" si="82">S55/AE55*100</f>
        <v>84.999999763641128</v>
      </c>
      <c r="N55" s="2">
        <v>6</v>
      </c>
      <c r="O55" s="2" t="s">
        <v>226</v>
      </c>
      <c r="P55" s="2" t="s">
        <v>227</v>
      </c>
      <c r="Q55" s="18" t="s">
        <v>216</v>
      </c>
      <c r="R55" s="2" t="s">
        <v>36</v>
      </c>
      <c r="S55" s="26">
        <f t="shared" ref="S55:S58" si="83">T55+U55</f>
        <v>359622.64</v>
      </c>
      <c r="T55" s="25">
        <v>359622.64</v>
      </c>
      <c r="U55" s="25">
        <v>0</v>
      </c>
      <c r="V55" s="26">
        <f t="shared" si="56"/>
        <v>55001.11</v>
      </c>
      <c r="W55" s="25">
        <v>55001.11</v>
      </c>
      <c r="X55" s="25">
        <v>0</v>
      </c>
      <c r="Y55" s="26">
        <f t="shared" ref="Y55" si="84">Z55+AA55</f>
        <v>8461.7099999999991</v>
      </c>
      <c r="Z55" s="25">
        <v>8461.7099999999991</v>
      </c>
      <c r="AA55" s="25">
        <v>0</v>
      </c>
      <c r="AB55" s="25">
        <f t="shared" si="57"/>
        <v>0</v>
      </c>
      <c r="AC55" s="25"/>
      <c r="AD55" s="25"/>
      <c r="AE55" s="25">
        <f>S55+V55+Y55+AB55</f>
        <v>423085.46</v>
      </c>
      <c r="AF55" s="25">
        <v>0</v>
      </c>
      <c r="AG55" s="25">
        <f t="shared" si="58"/>
        <v>423085.46</v>
      </c>
      <c r="AH55" s="28" t="s">
        <v>1125</v>
      </c>
      <c r="AI55" s="72" t="s">
        <v>187</v>
      </c>
      <c r="AJ55" s="39">
        <f>41688.25+258393</f>
        <v>300081.25</v>
      </c>
      <c r="AK55" s="34">
        <f>6375.85+39518.93</f>
        <v>45894.78</v>
      </c>
    </row>
    <row r="56" spans="1:37" ht="141.75" x14ac:dyDescent="0.25">
      <c r="A56" s="2">
        <v>50</v>
      </c>
      <c r="B56" s="67">
        <v>110080</v>
      </c>
      <c r="C56" s="118">
        <v>118</v>
      </c>
      <c r="D56" s="2" t="s">
        <v>174</v>
      </c>
      <c r="E56" s="7" t="s">
        <v>1018</v>
      </c>
      <c r="F56" s="119" t="s">
        <v>366</v>
      </c>
      <c r="G56" s="6" t="s">
        <v>340</v>
      </c>
      <c r="H56" s="6" t="s">
        <v>341</v>
      </c>
      <c r="I56" s="13" t="s">
        <v>187</v>
      </c>
      <c r="J56" s="11" t="s">
        <v>342</v>
      </c>
      <c r="K56" s="104">
        <v>43171</v>
      </c>
      <c r="L56" s="8">
        <v>43658</v>
      </c>
      <c r="M56" s="4">
        <f t="shared" si="82"/>
        <v>84.9999996799977</v>
      </c>
      <c r="N56" s="2">
        <v>6</v>
      </c>
      <c r="O56" s="2" t="s">
        <v>226</v>
      </c>
      <c r="P56" s="2" t="s">
        <v>343</v>
      </c>
      <c r="Q56" s="23" t="s">
        <v>216</v>
      </c>
      <c r="R56" s="2" t="s">
        <v>36</v>
      </c>
      <c r="S56" s="26">
        <f t="shared" si="83"/>
        <v>531246.18999999994</v>
      </c>
      <c r="T56" s="25">
        <v>531246.18999999994</v>
      </c>
      <c r="U56" s="25">
        <v>0</v>
      </c>
      <c r="V56" s="26">
        <f t="shared" si="56"/>
        <v>81249.41</v>
      </c>
      <c r="W56" s="25">
        <v>81249.41</v>
      </c>
      <c r="X56" s="25">
        <v>0</v>
      </c>
      <c r="Y56" s="26">
        <v>12499.92</v>
      </c>
      <c r="Z56" s="25">
        <v>12499.92</v>
      </c>
      <c r="AA56" s="25">
        <v>0</v>
      </c>
      <c r="AB56" s="25">
        <f t="shared" si="57"/>
        <v>0</v>
      </c>
      <c r="AC56" s="25"/>
      <c r="AD56" s="25"/>
      <c r="AE56" s="25">
        <f t="shared" ref="AE56:AE58" si="85">S56+V56+Y56+AB56</f>
        <v>624995.52</v>
      </c>
      <c r="AF56" s="25">
        <v>0</v>
      </c>
      <c r="AG56" s="25">
        <f t="shared" si="58"/>
        <v>624995.52</v>
      </c>
      <c r="AH56" s="28" t="s">
        <v>627</v>
      </c>
      <c r="AI56" s="72" t="s">
        <v>187</v>
      </c>
      <c r="AJ56" s="39">
        <f>116443.03+69871.41</f>
        <v>186314.44</v>
      </c>
      <c r="AK56" s="29">
        <f>17808.93+10686.22</f>
        <v>28495.15</v>
      </c>
    </row>
    <row r="57" spans="1:37" ht="236.25" x14ac:dyDescent="0.25">
      <c r="A57" s="5">
        <v>51</v>
      </c>
      <c r="B57" s="67">
        <v>120588</v>
      </c>
      <c r="C57" s="13">
        <v>104</v>
      </c>
      <c r="D57" s="2" t="s">
        <v>175</v>
      </c>
      <c r="E57" s="7" t="s">
        <v>1018</v>
      </c>
      <c r="F57" s="119" t="s">
        <v>366</v>
      </c>
      <c r="G57" s="154" t="s">
        <v>423</v>
      </c>
      <c r="H57" s="20" t="s">
        <v>422</v>
      </c>
      <c r="I57" s="2" t="s">
        <v>187</v>
      </c>
      <c r="J57" s="11" t="s">
        <v>424</v>
      </c>
      <c r="K57" s="104">
        <v>43201</v>
      </c>
      <c r="L57" s="8">
        <v>43566</v>
      </c>
      <c r="M57" s="4">
        <f t="shared" si="82"/>
        <v>85.000000000000014</v>
      </c>
      <c r="N57" s="2">
        <v>1</v>
      </c>
      <c r="O57" s="2" t="s">
        <v>226</v>
      </c>
      <c r="P57" s="2" t="s">
        <v>343</v>
      </c>
      <c r="Q57" s="18" t="s">
        <v>216</v>
      </c>
      <c r="R57" s="2" t="s">
        <v>36</v>
      </c>
      <c r="S57" s="26">
        <f t="shared" si="83"/>
        <v>354701.26</v>
      </c>
      <c r="T57" s="25">
        <v>354701.26</v>
      </c>
      <c r="U57" s="25">
        <v>0</v>
      </c>
      <c r="V57" s="26">
        <f t="shared" si="56"/>
        <v>54248.43</v>
      </c>
      <c r="W57" s="25">
        <v>54248.43</v>
      </c>
      <c r="X57" s="25">
        <v>0</v>
      </c>
      <c r="Y57" s="26">
        <f>Z57+AA57</f>
        <v>8345.91</v>
      </c>
      <c r="Z57" s="25">
        <v>8345.91</v>
      </c>
      <c r="AA57" s="25">
        <v>0</v>
      </c>
      <c r="AB57" s="25">
        <f t="shared" si="57"/>
        <v>0</v>
      </c>
      <c r="AC57" s="25">
        <v>0</v>
      </c>
      <c r="AD57" s="25">
        <v>0</v>
      </c>
      <c r="AE57" s="25">
        <f t="shared" si="85"/>
        <v>417295.6</v>
      </c>
      <c r="AF57" s="25">
        <v>0</v>
      </c>
      <c r="AG57" s="25">
        <f t="shared" si="58"/>
        <v>417295.6</v>
      </c>
      <c r="AH57" s="28" t="s">
        <v>627</v>
      </c>
      <c r="AI57" s="72" t="s">
        <v>187</v>
      </c>
      <c r="AJ57" s="39">
        <f>4830.98+7367.8</f>
        <v>12198.779999999999</v>
      </c>
      <c r="AK57" s="29">
        <f>738.85+1126.84</f>
        <v>1865.69</v>
      </c>
    </row>
    <row r="58" spans="1:37" ht="157.5" x14ac:dyDescent="0.25">
      <c r="A58" s="5">
        <v>52</v>
      </c>
      <c r="B58" s="67">
        <v>126485</v>
      </c>
      <c r="C58" s="118">
        <v>546</v>
      </c>
      <c r="D58" s="2" t="s">
        <v>178</v>
      </c>
      <c r="E58" s="7" t="s">
        <v>1018</v>
      </c>
      <c r="F58" s="119" t="s">
        <v>1191</v>
      </c>
      <c r="G58" s="154" t="s">
        <v>1274</v>
      </c>
      <c r="H58" s="20" t="s">
        <v>1272</v>
      </c>
      <c r="I58" s="2" t="s">
        <v>187</v>
      </c>
      <c r="J58" s="11" t="s">
        <v>1273</v>
      </c>
      <c r="K58" s="104">
        <v>43455</v>
      </c>
      <c r="L58" s="8">
        <v>44186</v>
      </c>
      <c r="M58" s="4">
        <f t="shared" si="82"/>
        <v>85</v>
      </c>
      <c r="N58" s="2">
        <v>2</v>
      </c>
      <c r="O58" s="2" t="s">
        <v>226</v>
      </c>
      <c r="P58" s="2" t="s">
        <v>227</v>
      </c>
      <c r="Q58" s="18" t="s">
        <v>216</v>
      </c>
      <c r="R58" s="2" t="s">
        <v>36</v>
      </c>
      <c r="S58" s="26">
        <f t="shared" si="83"/>
        <v>3257796.87</v>
      </c>
      <c r="T58" s="25">
        <v>3257796.87</v>
      </c>
      <c r="U58" s="25">
        <v>0</v>
      </c>
      <c r="V58" s="26">
        <f t="shared" si="56"/>
        <v>498251.29</v>
      </c>
      <c r="W58" s="25">
        <v>498251.29</v>
      </c>
      <c r="X58" s="25">
        <v>0</v>
      </c>
      <c r="Y58" s="26">
        <f t="shared" ref="Y58" si="86">Z58+AA58</f>
        <v>76654.039999999994</v>
      </c>
      <c r="Z58" s="25">
        <v>76654.039999999994</v>
      </c>
      <c r="AA58" s="25">
        <v>0</v>
      </c>
      <c r="AB58" s="25">
        <f t="shared" si="57"/>
        <v>0</v>
      </c>
      <c r="AC58" s="25">
        <v>0</v>
      </c>
      <c r="AD58" s="25">
        <v>0</v>
      </c>
      <c r="AE58" s="25">
        <f t="shared" si="85"/>
        <v>3832702.2</v>
      </c>
      <c r="AF58" s="25"/>
      <c r="AG58" s="25">
        <f t="shared" si="58"/>
        <v>3832702.2</v>
      </c>
      <c r="AH58" s="28" t="s">
        <v>627</v>
      </c>
      <c r="AI58" s="72" t="s">
        <v>187</v>
      </c>
      <c r="AJ58" s="31">
        <v>0</v>
      </c>
      <c r="AK58" s="29">
        <v>0</v>
      </c>
    </row>
    <row r="59" spans="1:37" ht="141.75" x14ac:dyDescent="0.25">
      <c r="A59" s="2">
        <v>53</v>
      </c>
      <c r="B59" s="2">
        <v>120642</v>
      </c>
      <c r="C59" s="13">
        <v>84</v>
      </c>
      <c r="D59" s="2" t="s">
        <v>177</v>
      </c>
      <c r="E59" s="7" t="s">
        <v>1018</v>
      </c>
      <c r="F59" s="119" t="s">
        <v>366</v>
      </c>
      <c r="G59" s="148" t="s">
        <v>367</v>
      </c>
      <c r="H59" s="6" t="s">
        <v>368</v>
      </c>
      <c r="I59" s="2" t="s">
        <v>187</v>
      </c>
      <c r="J59" s="51" t="s">
        <v>555</v>
      </c>
      <c r="K59" s="104">
        <v>43175</v>
      </c>
      <c r="L59" s="8">
        <v>43662</v>
      </c>
      <c r="M59" s="4">
        <f t="shared" ref="M59:M60" si="87">S59/AE59*100</f>
        <v>84.999998716744599</v>
      </c>
      <c r="N59" s="2">
        <v>2</v>
      </c>
      <c r="O59" s="2" t="s">
        <v>369</v>
      </c>
      <c r="P59" s="2" t="s">
        <v>370</v>
      </c>
      <c r="Q59" s="23" t="s">
        <v>216</v>
      </c>
      <c r="R59" s="2" t="s">
        <v>36</v>
      </c>
      <c r="S59" s="26">
        <f>T59+U59</f>
        <v>264951.15000000002</v>
      </c>
      <c r="T59" s="25">
        <v>264951.15000000002</v>
      </c>
      <c r="U59" s="25">
        <v>0</v>
      </c>
      <c r="V59" s="26">
        <f t="shared" si="56"/>
        <v>40521.949999999997</v>
      </c>
      <c r="W59" s="25">
        <v>40521.949999999997</v>
      </c>
      <c r="X59" s="25">
        <v>0</v>
      </c>
      <c r="Y59" s="26">
        <f>Z59+AA59</f>
        <v>6234.14</v>
      </c>
      <c r="Z59" s="25">
        <v>6234.14</v>
      </c>
      <c r="AA59" s="25">
        <v>0</v>
      </c>
      <c r="AB59" s="25">
        <f t="shared" si="57"/>
        <v>0</v>
      </c>
      <c r="AC59" s="25">
        <v>0</v>
      </c>
      <c r="AD59" s="25">
        <v>0</v>
      </c>
      <c r="AE59" s="25">
        <f>S59+V59+Y59+AB59</f>
        <v>311707.24000000005</v>
      </c>
      <c r="AF59" s="25">
        <v>0</v>
      </c>
      <c r="AG59" s="25">
        <f t="shared" si="58"/>
        <v>311707.24000000005</v>
      </c>
      <c r="AH59" s="28" t="s">
        <v>627</v>
      </c>
      <c r="AI59" s="72" t="s">
        <v>187</v>
      </c>
      <c r="AJ59" s="39">
        <v>27532.48</v>
      </c>
      <c r="AK59" s="29">
        <v>4210.8500000000004</v>
      </c>
    </row>
    <row r="60" spans="1:37" ht="141.75" x14ac:dyDescent="0.25">
      <c r="A60" s="5">
        <v>54</v>
      </c>
      <c r="B60" s="67">
        <v>116521</v>
      </c>
      <c r="C60" s="13">
        <v>405</v>
      </c>
      <c r="D60" s="2" t="s">
        <v>163</v>
      </c>
      <c r="E60" s="7" t="s">
        <v>748</v>
      </c>
      <c r="F60" s="6" t="s">
        <v>653</v>
      </c>
      <c r="G60" s="6" t="s">
        <v>858</v>
      </c>
      <c r="H60" s="6" t="s">
        <v>696</v>
      </c>
      <c r="I60" s="2" t="s">
        <v>187</v>
      </c>
      <c r="J60" s="6" t="s">
        <v>859</v>
      </c>
      <c r="K60" s="104">
        <v>43304</v>
      </c>
      <c r="L60" s="8">
        <v>43792</v>
      </c>
      <c r="M60" s="4">
        <f t="shared" si="87"/>
        <v>85.000001706742694</v>
      </c>
      <c r="N60" s="2">
        <v>2</v>
      </c>
      <c r="O60" s="2" t="s">
        <v>369</v>
      </c>
      <c r="P60" s="2" t="s">
        <v>369</v>
      </c>
      <c r="Q60" s="2" t="s">
        <v>216</v>
      </c>
      <c r="R60" s="2" t="s">
        <v>36</v>
      </c>
      <c r="S60" s="26">
        <f t="shared" ref="S60" si="88">T60+U60</f>
        <v>249012.35</v>
      </c>
      <c r="T60" s="29">
        <v>249012.35</v>
      </c>
      <c r="U60" s="29">
        <v>0</v>
      </c>
      <c r="V60" s="26">
        <f t="shared" si="56"/>
        <v>38084.239999999998</v>
      </c>
      <c r="W60" s="29">
        <v>38084.239999999998</v>
      </c>
      <c r="X60" s="29">
        <v>0</v>
      </c>
      <c r="Y60" s="29">
        <f>Z60+AA60</f>
        <v>5859.11</v>
      </c>
      <c r="Z60" s="29">
        <v>5859.11</v>
      </c>
      <c r="AA60" s="29">
        <v>0</v>
      </c>
      <c r="AB60" s="25">
        <f t="shared" si="57"/>
        <v>0</v>
      </c>
      <c r="AC60" s="29">
        <v>0</v>
      </c>
      <c r="AD60" s="29">
        <v>0</v>
      </c>
      <c r="AE60" s="25">
        <f t="shared" ref="AE60" si="89">S60+V60+Y60+AB60</f>
        <v>292955.7</v>
      </c>
      <c r="AF60" s="30">
        <v>0</v>
      </c>
      <c r="AG60" s="25">
        <f t="shared" si="58"/>
        <v>292955.7</v>
      </c>
      <c r="AH60" s="28" t="s">
        <v>627</v>
      </c>
      <c r="AI60" s="30"/>
      <c r="AJ60" s="31">
        <f>32343.8+5296.22</f>
        <v>37640.019999999997</v>
      </c>
      <c r="AK60" s="31">
        <f>4946.7+810.01</f>
        <v>5756.71</v>
      </c>
    </row>
    <row r="61" spans="1:37" ht="189" x14ac:dyDescent="0.25">
      <c r="A61" s="5">
        <v>55</v>
      </c>
      <c r="B61" s="67">
        <v>126409</v>
      </c>
      <c r="C61" s="13">
        <v>551</v>
      </c>
      <c r="D61" s="2" t="s">
        <v>175</v>
      </c>
      <c r="E61" s="7" t="s">
        <v>1018</v>
      </c>
      <c r="F61" s="6" t="s">
        <v>1191</v>
      </c>
      <c r="G61" s="6" t="s">
        <v>1220</v>
      </c>
      <c r="H61" s="6" t="s">
        <v>696</v>
      </c>
      <c r="I61" s="2" t="s">
        <v>187</v>
      </c>
      <c r="J61" s="6" t="s">
        <v>1221</v>
      </c>
      <c r="K61" s="104">
        <v>43439</v>
      </c>
      <c r="L61" s="8">
        <v>44321</v>
      </c>
      <c r="M61" s="4">
        <f>S61/AE61*100</f>
        <v>85.000000331630361</v>
      </c>
      <c r="N61" s="2">
        <v>2</v>
      </c>
      <c r="O61" s="2" t="s">
        <v>369</v>
      </c>
      <c r="P61" s="2" t="s">
        <v>369</v>
      </c>
      <c r="Q61" s="2" t="s">
        <v>216</v>
      </c>
      <c r="R61" s="2" t="s">
        <v>36</v>
      </c>
      <c r="S61" s="26">
        <f>T61+U61</f>
        <v>3075713.52</v>
      </c>
      <c r="T61" s="29">
        <v>3075713.52</v>
      </c>
      <c r="U61" s="29">
        <v>0</v>
      </c>
      <c r="V61" s="26">
        <f>W61+X61</f>
        <v>470403.23</v>
      </c>
      <c r="W61" s="29">
        <v>470403.23</v>
      </c>
      <c r="X61" s="29">
        <v>0</v>
      </c>
      <c r="Y61" s="29">
        <f>Z61+AA61</f>
        <v>72369.73000000001</v>
      </c>
      <c r="Z61" s="29">
        <v>72369.73000000001</v>
      </c>
      <c r="AA61" s="29">
        <v>0</v>
      </c>
      <c r="AB61" s="25">
        <f>AC61+AD61</f>
        <v>0</v>
      </c>
      <c r="AC61" s="29">
        <v>0</v>
      </c>
      <c r="AD61" s="29">
        <v>0</v>
      </c>
      <c r="AE61" s="25">
        <f>S61+V61+Y61+AB61</f>
        <v>3618486.48</v>
      </c>
      <c r="AF61" s="30">
        <v>0</v>
      </c>
      <c r="AG61" s="25">
        <f>AE61+AF61</f>
        <v>3618486.48</v>
      </c>
      <c r="AH61" s="28" t="s">
        <v>627</v>
      </c>
      <c r="AI61" s="30"/>
      <c r="AJ61" s="31">
        <v>0</v>
      </c>
      <c r="AK61" s="31">
        <v>0</v>
      </c>
    </row>
    <row r="62" spans="1:37" s="132" customFormat="1" ht="204.75" x14ac:dyDescent="0.25">
      <c r="A62" s="2">
        <v>56</v>
      </c>
      <c r="B62" s="67">
        <v>120631</v>
      </c>
      <c r="C62" s="118">
        <v>81</v>
      </c>
      <c r="D62" s="7" t="s">
        <v>177</v>
      </c>
      <c r="E62" s="7" t="s">
        <v>1018</v>
      </c>
      <c r="F62" s="119" t="s">
        <v>366</v>
      </c>
      <c r="G62" s="129" t="s">
        <v>261</v>
      </c>
      <c r="H62" s="129" t="s">
        <v>262</v>
      </c>
      <c r="I62" s="13" t="s">
        <v>187</v>
      </c>
      <c r="J62" s="7" t="s">
        <v>263</v>
      </c>
      <c r="K62" s="104">
        <v>43129</v>
      </c>
      <c r="L62" s="8">
        <v>43614</v>
      </c>
      <c r="M62" s="4">
        <f t="shared" ref="M62:M63" si="90">S62/AE62*100</f>
        <v>84.999999195969949</v>
      </c>
      <c r="N62" s="13">
        <v>3</v>
      </c>
      <c r="O62" s="13" t="s">
        <v>264</v>
      </c>
      <c r="P62" s="13" t="s">
        <v>276</v>
      </c>
      <c r="Q62" s="23" t="s">
        <v>216</v>
      </c>
      <c r="R62" s="13" t="s">
        <v>36</v>
      </c>
      <c r="S62" s="25">
        <f t="shared" ref="S62:S63" si="91">T62+U62</f>
        <v>528587.19999999995</v>
      </c>
      <c r="T62" s="130">
        <v>528587.19999999995</v>
      </c>
      <c r="U62" s="29">
        <v>0</v>
      </c>
      <c r="V62" s="26">
        <f t="shared" si="56"/>
        <v>80842.75</v>
      </c>
      <c r="W62" s="130">
        <v>80842.75</v>
      </c>
      <c r="X62" s="29">
        <v>0</v>
      </c>
      <c r="Y62" s="25">
        <f t="shared" ref="Y62:Y63" si="92">Z62+AA62</f>
        <v>12437.35</v>
      </c>
      <c r="Z62" s="130">
        <v>12437.35</v>
      </c>
      <c r="AA62" s="27">
        <v>0</v>
      </c>
      <c r="AB62" s="25">
        <f t="shared" si="57"/>
        <v>0</v>
      </c>
      <c r="AC62" s="27"/>
      <c r="AD62" s="27"/>
      <c r="AE62" s="25">
        <f>S62+V62+Y62+AB62</f>
        <v>621867.29999999993</v>
      </c>
      <c r="AF62" s="27">
        <v>0</v>
      </c>
      <c r="AG62" s="25">
        <f t="shared" si="58"/>
        <v>621867.29999999993</v>
      </c>
      <c r="AH62" s="28" t="s">
        <v>627</v>
      </c>
      <c r="AI62" s="37" t="s">
        <v>187</v>
      </c>
      <c r="AJ62" s="39">
        <f>26400.15+283575.59</f>
        <v>309975.74000000005</v>
      </c>
      <c r="AK62" s="34">
        <f>4037.67+43370.38</f>
        <v>47408.049999999996</v>
      </c>
    </row>
    <row r="63" spans="1:37" ht="299.25" x14ac:dyDescent="0.25">
      <c r="A63" s="5">
        <v>57</v>
      </c>
      <c r="B63" s="67">
        <v>118772</v>
      </c>
      <c r="C63" s="67">
        <v>441</v>
      </c>
      <c r="D63" s="67" t="s">
        <v>741</v>
      </c>
      <c r="E63" s="7" t="s">
        <v>748</v>
      </c>
      <c r="F63" s="7" t="s">
        <v>653</v>
      </c>
      <c r="G63" s="129" t="s">
        <v>922</v>
      </c>
      <c r="H63" s="23" t="s">
        <v>921</v>
      </c>
      <c r="I63" s="13" t="s">
        <v>187</v>
      </c>
      <c r="J63" s="7" t="s">
        <v>923</v>
      </c>
      <c r="K63" s="104">
        <v>43313</v>
      </c>
      <c r="L63" s="8">
        <v>43677</v>
      </c>
      <c r="M63" s="4">
        <f t="shared" si="90"/>
        <v>85</v>
      </c>
      <c r="N63" s="112">
        <v>3</v>
      </c>
      <c r="O63" s="13" t="s">
        <v>264</v>
      </c>
      <c r="P63" s="112" t="s">
        <v>924</v>
      </c>
      <c r="Q63" s="23" t="s">
        <v>216</v>
      </c>
      <c r="R63" s="13" t="s">
        <v>36</v>
      </c>
      <c r="S63" s="25">
        <f t="shared" si="91"/>
        <v>232055.1</v>
      </c>
      <c r="T63" s="29">
        <v>232055.1</v>
      </c>
      <c r="U63" s="29">
        <v>0</v>
      </c>
      <c r="V63" s="26">
        <f t="shared" si="56"/>
        <v>35490.78</v>
      </c>
      <c r="W63" s="29">
        <v>35490.78</v>
      </c>
      <c r="X63" s="29">
        <v>0</v>
      </c>
      <c r="Y63" s="25">
        <f t="shared" si="92"/>
        <v>5460.12</v>
      </c>
      <c r="Z63" s="29">
        <v>5460.12</v>
      </c>
      <c r="AA63" s="29">
        <v>0</v>
      </c>
      <c r="AB63" s="25">
        <f t="shared" si="57"/>
        <v>0</v>
      </c>
      <c r="AC63" s="29">
        <v>0</v>
      </c>
      <c r="AD63" s="29">
        <v>0</v>
      </c>
      <c r="AE63" s="25">
        <f t="shared" ref="AE63" si="93">S63+V63+Y63+AB63</f>
        <v>273006</v>
      </c>
      <c r="AF63" s="32">
        <v>0</v>
      </c>
      <c r="AG63" s="25">
        <f t="shared" si="58"/>
        <v>273006</v>
      </c>
      <c r="AH63" s="28" t="s">
        <v>627</v>
      </c>
      <c r="AI63" s="37" t="s">
        <v>187</v>
      </c>
      <c r="AJ63" s="77">
        <f>27300.6+41576.52</f>
        <v>68877.119999999995</v>
      </c>
      <c r="AK63" s="39">
        <v>10534.15</v>
      </c>
    </row>
    <row r="64" spans="1:37" s="156" customFormat="1" ht="173.25" x14ac:dyDescent="0.25">
      <c r="A64" s="5">
        <v>58</v>
      </c>
      <c r="B64" s="67">
        <v>120693</v>
      </c>
      <c r="C64" s="118">
        <v>114</v>
      </c>
      <c r="D64" s="13" t="s">
        <v>178</v>
      </c>
      <c r="E64" s="7" t="s">
        <v>1018</v>
      </c>
      <c r="F64" s="119" t="s">
        <v>366</v>
      </c>
      <c r="G64" s="135" t="s">
        <v>283</v>
      </c>
      <c r="H64" s="7" t="s">
        <v>284</v>
      </c>
      <c r="I64" s="13" t="s">
        <v>187</v>
      </c>
      <c r="J64" s="15" t="s">
        <v>285</v>
      </c>
      <c r="K64" s="104">
        <v>43145</v>
      </c>
      <c r="L64" s="8">
        <v>43630</v>
      </c>
      <c r="M64" s="16">
        <f t="shared" ref="M64" si="94">S64/AE64*100</f>
        <v>85.000000594539443</v>
      </c>
      <c r="N64" s="13">
        <v>4</v>
      </c>
      <c r="O64" s="13" t="s">
        <v>297</v>
      </c>
      <c r="P64" s="13" t="s">
        <v>286</v>
      </c>
      <c r="Q64" s="23" t="s">
        <v>216</v>
      </c>
      <c r="R64" s="13" t="s">
        <v>36</v>
      </c>
      <c r="S64" s="27">
        <f t="shared" ref="S64:S68" si="95">T64+U64</f>
        <v>357419.52000000002</v>
      </c>
      <c r="T64" s="25">
        <v>357419.52000000002</v>
      </c>
      <c r="U64" s="29">
        <v>0</v>
      </c>
      <c r="V64" s="26">
        <f t="shared" si="56"/>
        <v>54664.160000000003</v>
      </c>
      <c r="W64" s="130">
        <v>54664.160000000003</v>
      </c>
      <c r="X64" s="29">
        <v>0</v>
      </c>
      <c r="Y64" s="26">
        <f t="shared" ref="Y64:Y68" si="96">Z64+AA64</f>
        <v>8409.8700000000008</v>
      </c>
      <c r="Z64" s="130">
        <v>8409.8700000000008</v>
      </c>
      <c r="AA64" s="155">
        <v>0</v>
      </c>
      <c r="AB64" s="25">
        <f t="shared" si="57"/>
        <v>0</v>
      </c>
      <c r="AC64" s="27"/>
      <c r="AD64" s="27"/>
      <c r="AE64" s="27">
        <f>S64+V64+Y64+AB64</f>
        <v>420493.55000000005</v>
      </c>
      <c r="AF64" s="27">
        <v>0</v>
      </c>
      <c r="AG64" s="25">
        <f t="shared" si="58"/>
        <v>420493.55000000005</v>
      </c>
      <c r="AH64" s="28" t="s">
        <v>627</v>
      </c>
      <c r="AI64" s="37" t="s">
        <v>187</v>
      </c>
      <c r="AJ64" s="39">
        <v>23754.1</v>
      </c>
      <c r="AK64" s="29">
        <v>3632.98</v>
      </c>
    </row>
    <row r="65" spans="1:37" ht="330.75" x14ac:dyDescent="0.25">
      <c r="A65" s="2">
        <v>59</v>
      </c>
      <c r="B65" s="112">
        <v>119288</v>
      </c>
      <c r="C65" s="118">
        <v>487</v>
      </c>
      <c r="D65" s="112" t="s">
        <v>178</v>
      </c>
      <c r="E65" s="13" t="s">
        <v>1093</v>
      </c>
      <c r="F65" s="13" t="s">
        <v>584</v>
      </c>
      <c r="G65" s="157" t="s">
        <v>687</v>
      </c>
      <c r="H65" s="7" t="s">
        <v>686</v>
      </c>
      <c r="I65" s="112" t="s">
        <v>187</v>
      </c>
      <c r="J65" s="116" t="s">
        <v>688</v>
      </c>
      <c r="K65" s="104">
        <v>43272</v>
      </c>
      <c r="L65" s="8">
        <v>43667</v>
      </c>
      <c r="M65" s="16">
        <f t="shared" ref="M65:M69" si="97">S65/AE65*100</f>
        <v>85</v>
      </c>
      <c r="N65" s="13">
        <v>4</v>
      </c>
      <c r="O65" s="13" t="s">
        <v>297</v>
      </c>
      <c r="P65" s="13" t="s">
        <v>458</v>
      </c>
      <c r="Q65" s="23" t="s">
        <v>216</v>
      </c>
      <c r="R65" s="13" t="s">
        <v>36</v>
      </c>
      <c r="S65" s="27">
        <f t="shared" si="95"/>
        <v>360400</v>
      </c>
      <c r="T65" s="29">
        <v>360400</v>
      </c>
      <c r="U65" s="29">
        <v>0</v>
      </c>
      <c r="V65" s="26">
        <f t="shared" si="56"/>
        <v>55120</v>
      </c>
      <c r="W65" s="25">
        <v>55120</v>
      </c>
      <c r="X65" s="67">
        <v>0</v>
      </c>
      <c r="Y65" s="26">
        <f t="shared" si="96"/>
        <v>8480</v>
      </c>
      <c r="Z65" s="18">
        <v>8480</v>
      </c>
      <c r="AA65" s="29">
        <v>0</v>
      </c>
      <c r="AB65" s="25">
        <f t="shared" si="57"/>
        <v>0</v>
      </c>
      <c r="AC65" s="18">
        <v>0</v>
      </c>
      <c r="AD65" s="18">
        <v>0</v>
      </c>
      <c r="AE65" s="27">
        <f t="shared" ref="AE65:AE68" si="98">S65+V65+Y65+AB65</f>
        <v>424000</v>
      </c>
      <c r="AF65" s="32"/>
      <c r="AG65" s="25">
        <f t="shared" si="58"/>
        <v>424000</v>
      </c>
      <c r="AH65" s="28" t="s">
        <v>627</v>
      </c>
      <c r="AI65" s="37" t="s">
        <v>187</v>
      </c>
      <c r="AJ65" s="39">
        <f>37115.76+50985.81</f>
        <v>88101.57</v>
      </c>
      <c r="AK65" s="29">
        <f>5676.53+7797.82</f>
        <v>13474.349999999999</v>
      </c>
    </row>
    <row r="66" spans="1:37" s="161" customFormat="1" ht="378" x14ac:dyDescent="0.25">
      <c r="A66" s="5">
        <v>60</v>
      </c>
      <c r="B66" s="158">
        <v>118780</v>
      </c>
      <c r="C66" s="159">
        <v>443</v>
      </c>
      <c r="D66" s="159" t="s">
        <v>892</v>
      </c>
      <c r="E66" s="95" t="s">
        <v>748</v>
      </c>
      <c r="F66" s="95" t="s">
        <v>653</v>
      </c>
      <c r="G66" s="160" t="s">
        <v>904</v>
      </c>
      <c r="H66" s="95" t="s">
        <v>284</v>
      </c>
      <c r="I66" s="13" t="s">
        <v>905</v>
      </c>
      <c r="J66" s="7" t="s">
        <v>906</v>
      </c>
      <c r="K66" s="8">
        <v>43312</v>
      </c>
      <c r="L66" s="8">
        <v>43677</v>
      </c>
      <c r="M66" s="16">
        <f t="shared" si="97"/>
        <v>84.150233941460755</v>
      </c>
      <c r="N66" s="13">
        <v>4</v>
      </c>
      <c r="O66" s="13" t="s">
        <v>641</v>
      </c>
      <c r="P66" s="13" t="s">
        <v>907</v>
      </c>
      <c r="Q66" s="23" t="s">
        <v>216</v>
      </c>
      <c r="R66" s="13" t="s">
        <v>36</v>
      </c>
      <c r="S66" s="27">
        <f t="shared" si="95"/>
        <v>230233.66</v>
      </c>
      <c r="T66" s="39">
        <v>230233.66</v>
      </c>
      <c r="U66" s="39">
        <v>0</v>
      </c>
      <c r="V66" s="26">
        <f t="shared" si="56"/>
        <v>37892.730000000003</v>
      </c>
      <c r="W66" s="39">
        <v>37892.730000000003</v>
      </c>
      <c r="X66" s="39">
        <v>0</v>
      </c>
      <c r="Y66" s="26">
        <f t="shared" si="96"/>
        <v>2736.73</v>
      </c>
      <c r="Z66" s="39">
        <v>2736.73</v>
      </c>
      <c r="AA66" s="39">
        <v>0</v>
      </c>
      <c r="AB66" s="25">
        <f t="shared" si="57"/>
        <v>2735.24</v>
      </c>
      <c r="AC66" s="39">
        <v>2735.24</v>
      </c>
      <c r="AD66" s="74">
        <v>0</v>
      </c>
      <c r="AE66" s="27">
        <f t="shared" si="98"/>
        <v>273598.36</v>
      </c>
      <c r="AF66" s="28">
        <v>0</v>
      </c>
      <c r="AG66" s="25">
        <f t="shared" si="58"/>
        <v>273598.36</v>
      </c>
      <c r="AH66" s="28" t="s">
        <v>627</v>
      </c>
      <c r="AI66" s="37" t="s">
        <v>187</v>
      </c>
      <c r="AJ66" s="77">
        <f>20000+13556.78</f>
        <v>33556.78</v>
      </c>
      <c r="AK66" s="39">
        <v>5449.34</v>
      </c>
    </row>
    <row r="67" spans="1:37" ht="409.5" x14ac:dyDescent="0.25">
      <c r="A67" s="5">
        <v>61</v>
      </c>
      <c r="B67" s="123">
        <v>119830</v>
      </c>
      <c r="C67" s="13">
        <v>474</v>
      </c>
      <c r="D67" s="13" t="s">
        <v>741</v>
      </c>
      <c r="E67" s="13" t="s">
        <v>1093</v>
      </c>
      <c r="F67" s="13" t="s">
        <v>584</v>
      </c>
      <c r="G67" s="162" t="s">
        <v>973</v>
      </c>
      <c r="H67" s="13" t="s">
        <v>974</v>
      </c>
      <c r="I67" s="112" t="s">
        <v>187</v>
      </c>
      <c r="J67" s="7" t="s">
        <v>975</v>
      </c>
      <c r="K67" s="104">
        <v>43322</v>
      </c>
      <c r="L67" s="8">
        <v>43779</v>
      </c>
      <c r="M67" s="16">
        <f t="shared" si="97"/>
        <v>84.999997553055863</v>
      </c>
      <c r="N67" s="13">
        <v>4</v>
      </c>
      <c r="O67" s="13" t="s">
        <v>641</v>
      </c>
      <c r="P67" s="13" t="s">
        <v>976</v>
      </c>
      <c r="Q67" s="23" t="s">
        <v>216</v>
      </c>
      <c r="R67" s="13" t="s">
        <v>36</v>
      </c>
      <c r="S67" s="27">
        <f t="shared" si="95"/>
        <v>347372.04</v>
      </c>
      <c r="T67" s="39">
        <v>347372.04</v>
      </c>
      <c r="U67" s="39">
        <v>0</v>
      </c>
      <c r="V67" s="26">
        <f t="shared" si="56"/>
        <v>53127.519999999997</v>
      </c>
      <c r="W67" s="74">
        <v>53127.519999999997</v>
      </c>
      <c r="X67" s="74">
        <v>0</v>
      </c>
      <c r="Y67" s="26">
        <f t="shared" si="96"/>
        <v>8173.4400000000005</v>
      </c>
      <c r="Z67" s="39">
        <v>8173.4400000000005</v>
      </c>
      <c r="AA67" s="39">
        <v>0</v>
      </c>
      <c r="AB67" s="27">
        <f t="shared" si="57"/>
        <v>0</v>
      </c>
      <c r="AC67" s="163">
        <v>0</v>
      </c>
      <c r="AD67" s="163">
        <v>0</v>
      </c>
      <c r="AE67" s="27">
        <f>S67+V67+Y67+AB67</f>
        <v>408673</v>
      </c>
      <c r="AF67" s="27">
        <v>0</v>
      </c>
      <c r="AG67" s="25">
        <f t="shared" si="58"/>
        <v>408673</v>
      </c>
      <c r="AH67" s="30" t="s">
        <v>627</v>
      </c>
      <c r="AI67" s="37" t="s">
        <v>1132</v>
      </c>
      <c r="AJ67" s="77">
        <f>35636.51+21048.64</f>
        <v>56685.15</v>
      </c>
      <c r="AK67" s="29">
        <v>2750.67</v>
      </c>
    </row>
    <row r="68" spans="1:37" ht="241.15" customHeight="1" x14ac:dyDescent="0.25">
      <c r="A68" s="2">
        <v>62</v>
      </c>
      <c r="B68" s="123">
        <v>118793</v>
      </c>
      <c r="C68" s="13">
        <v>446</v>
      </c>
      <c r="D68" s="123" t="s">
        <v>741</v>
      </c>
      <c r="E68" s="7" t="s">
        <v>748</v>
      </c>
      <c r="F68" s="13" t="s">
        <v>653</v>
      </c>
      <c r="G68" s="7" t="s">
        <v>977</v>
      </c>
      <c r="H68" s="13" t="s">
        <v>974</v>
      </c>
      <c r="I68" s="112"/>
      <c r="J68" s="75" t="s">
        <v>978</v>
      </c>
      <c r="K68" s="104">
        <v>43322</v>
      </c>
      <c r="L68" s="8">
        <v>43687</v>
      </c>
      <c r="M68" s="16">
        <f t="shared" si="97"/>
        <v>85.000000000000014</v>
      </c>
      <c r="N68" s="13">
        <v>4</v>
      </c>
      <c r="O68" s="13" t="s">
        <v>641</v>
      </c>
      <c r="P68" s="13" t="s">
        <v>976</v>
      </c>
      <c r="Q68" s="13" t="s">
        <v>216</v>
      </c>
      <c r="R68" s="13" t="s">
        <v>36</v>
      </c>
      <c r="S68" s="27">
        <f t="shared" si="95"/>
        <v>239897.2</v>
      </c>
      <c r="T68" s="74">
        <v>239897.2</v>
      </c>
      <c r="U68" s="74">
        <v>0</v>
      </c>
      <c r="V68" s="26">
        <f t="shared" si="56"/>
        <v>36690.160000000003</v>
      </c>
      <c r="W68" s="74">
        <v>36690.160000000003</v>
      </c>
      <c r="X68" s="74">
        <v>0</v>
      </c>
      <c r="Y68" s="26">
        <f t="shared" si="96"/>
        <v>5644.6399999999994</v>
      </c>
      <c r="Z68" s="39">
        <v>5644.6399999999994</v>
      </c>
      <c r="AA68" s="39">
        <v>0</v>
      </c>
      <c r="AB68" s="27">
        <f t="shared" si="57"/>
        <v>0</v>
      </c>
      <c r="AC68" s="74"/>
      <c r="AD68" s="74"/>
      <c r="AE68" s="27">
        <f t="shared" si="98"/>
        <v>282232</v>
      </c>
      <c r="AF68" s="28"/>
      <c r="AG68" s="27">
        <f t="shared" si="58"/>
        <v>282232</v>
      </c>
      <c r="AH68" s="28" t="s">
        <v>920</v>
      </c>
      <c r="AI68" s="32"/>
      <c r="AJ68" s="77">
        <f>28223.2-2998.75</f>
        <v>25224.45</v>
      </c>
      <c r="AK68" s="39">
        <v>2998.75</v>
      </c>
    </row>
    <row r="69" spans="1:37" s="169" customFormat="1" ht="241.15" customHeight="1" x14ac:dyDescent="0.25">
      <c r="A69" s="5">
        <v>63</v>
      </c>
      <c r="B69" s="164">
        <v>126292</v>
      </c>
      <c r="C69" s="106">
        <v>514</v>
      </c>
      <c r="D69" s="165" t="s">
        <v>178</v>
      </c>
      <c r="E69" s="166" t="s">
        <v>1018</v>
      </c>
      <c r="F69" s="96" t="s">
        <v>1191</v>
      </c>
      <c r="G69" s="167" t="s">
        <v>1213</v>
      </c>
      <c r="H69" s="96" t="s">
        <v>1214</v>
      </c>
      <c r="I69" s="168" t="s">
        <v>187</v>
      </c>
      <c r="J69" s="103" t="s">
        <v>1215</v>
      </c>
      <c r="K69" s="104">
        <v>43439</v>
      </c>
      <c r="L69" s="8">
        <v>43926</v>
      </c>
      <c r="M69" s="16">
        <f t="shared" si="97"/>
        <v>84.999999635678833</v>
      </c>
      <c r="N69" s="106">
        <v>4</v>
      </c>
      <c r="O69" s="96" t="s">
        <v>641</v>
      </c>
      <c r="P69" s="96" t="s">
        <v>458</v>
      </c>
      <c r="Q69" s="96" t="s">
        <v>216</v>
      </c>
      <c r="R69" s="96" t="s">
        <v>1216</v>
      </c>
      <c r="S69" s="27">
        <f>T69+U69</f>
        <v>2333106.34</v>
      </c>
      <c r="T69" s="39">
        <v>2333106.34</v>
      </c>
      <c r="U69" s="39">
        <v>0</v>
      </c>
      <c r="V69" s="26">
        <f>W69+X69</f>
        <v>356828.04</v>
      </c>
      <c r="W69" s="39">
        <v>356828.04</v>
      </c>
      <c r="X69" s="39">
        <v>0</v>
      </c>
      <c r="Y69" s="26">
        <f>Z69+AA69</f>
        <v>54896.62</v>
      </c>
      <c r="Z69" s="39">
        <v>54896.62</v>
      </c>
      <c r="AA69" s="39">
        <v>0</v>
      </c>
      <c r="AB69" s="26">
        <v>0</v>
      </c>
      <c r="AC69" s="39">
        <v>0</v>
      </c>
      <c r="AD69" s="39">
        <v>0</v>
      </c>
      <c r="AE69" s="27">
        <f>S69+V69+Y69+AB69</f>
        <v>2744831</v>
      </c>
      <c r="AF69" s="39"/>
      <c r="AG69" s="27">
        <f>AE69+AF69</f>
        <v>2744831</v>
      </c>
      <c r="AH69" s="28" t="s">
        <v>920</v>
      </c>
      <c r="AI69" s="38"/>
      <c r="AJ69" s="77">
        <v>0</v>
      </c>
      <c r="AK69" s="39">
        <v>0</v>
      </c>
    </row>
    <row r="70" spans="1:37" ht="267.75" x14ac:dyDescent="0.25">
      <c r="A70" s="5">
        <v>64</v>
      </c>
      <c r="B70" s="67">
        <v>120590</v>
      </c>
      <c r="C70" s="118">
        <v>69</v>
      </c>
      <c r="D70" s="2" t="s">
        <v>175</v>
      </c>
      <c r="E70" s="7" t="s">
        <v>1018</v>
      </c>
      <c r="F70" s="119" t="s">
        <v>366</v>
      </c>
      <c r="G70" s="6" t="s">
        <v>217</v>
      </c>
      <c r="H70" s="6" t="s">
        <v>220</v>
      </c>
      <c r="I70" s="2" t="s">
        <v>187</v>
      </c>
      <c r="J70" s="3" t="s">
        <v>223</v>
      </c>
      <c r="K70" s="104">
        <v>43129</v>
      </c>
      <c r="L70" s="8">
        <v>43553</v>
      </c>
      <c r="M70" s="4">
        <f t="shared" ref="M70:M71" si="99">S70/AE70*100</f>
        <v>85</v>
      </c>
      <c r="N70" s="2">
        <v>2</v>
      </c>
      <c r="O70" s="2" t="s">
        <v>230</v>
      </c>
      <c r="P70" s="2" t="s">
        <v>228</v>
      </c>
      <c r="Q70" s="18" t="s">
        <v>216</v>
      </c>
      <c r="R70" s="2" t="s">
        <v>36</v>
      </c>
      <c r="S70" s="25">
        <f t="shared" ref="S70:S71" si="100">T70+U70</f>
        <v>312939.57</v>
      </c>
      <c r="T70" s="25">
        <v>312939.57</v>
      </c>
      <c r="U70" s="25">
        <v>0</v>
      </c>
      <c r="V70" s="26">
        <f t="shared" si="56"/>
        <v>47861.35</v>
      </c>
      <c r="W70" s="25">
        <v>47861.35</v>
      </c>
      <c r="X70" s="25">
        <v>0</v>
      </c>
      <c r="Y70" s="25">
        <f t="shared" ref="Y70:Y71" si="101">Z70+AA70</f>
        <v>7363.28</v>
      </c>
      <c r="Z70" s="25">
        <v>7363.28</v>
      </c>
      <c r="AA70" s="25">
        <v>0</v>
      </c>
      <c r="AB70" s="25">
        <f t="shared" si="57"/>
        <v>0</v>
      </c>
      <c r="AC70" s="25"/>
      <c r="AD70" s="25"/>
      <c r="AE70" s="25">
        <f>S70+V70+Y70+AB70</f>
        <v>368164.2</v>
      </c>
      <c r="AF70" s="25">
        <v>0</v>
      </c>
      <c r="AG70" s="25">
        <f t="shared" si="58"/>
        <v>368164.2</v>
      </c>
      <c r="AH70" s="28" t="s">
        <v>627</v>
      </c>
      <c r="AI70" s="72" t="s">
        <v>187</v>
      </c>
      <c r="AJ70" s="39">
        <f>9308-1234.73+160612.06</f>
        <v>168685.33</v>
      </c>
      <c r="AK70" s="34">
        <f>1234.73+24564.19</f>
        <v>25798.92</v>
      </c>
    </row>
    <row r="71" spans="1:37" s="170" customFormat="1" ht="409.5" x14ac:dyDescent="0.25">
      <c r="A71" s="2">
        <v>65</v>
      </c>
      <c r="B71" s="123">
        <v>118013</v>
      </c>
      <c r="C71" s="13">
        <v>419</v>
      </c>
      <c r="D71" s="13"/>
      <c r="E71" s="7" t="s">
        <v>748</v>
      </c>
      <c r="F71" s="13" t="s">
        <v>653</v>
      </c>
      <c r="G71" s="7" t="s">
        <v>1019</v>
      </c>
      <c r="H71" s="7" t="s">
        <v>1020</v>
      </c>
      <c r="I71" s="13" t="s">
        <v>187</v>
      </c>
      <c r="J71" s="7" t="s">
        <v>1021</v>
      </c>
      <c r="K71" s="8">
        <v>43336</v>
      </c>
      <c r="L71" s="8">
        <v>43762</v>
      </c>
      <c r="M71" s="16">
        <f t="shared" si="99"/>
        <v>84.999998597642829</v>
      </c>
      <c r="N71" s="13">
        <v>2</v>
      </c>
      <c r="O71" s="2" t="s">
        <v>230</v>
      </c>
      <c r="P71" s="2" t="s">
        <v>228</v>
      </c>
      <c r="Q71" s="18" t="s">
        <v>216</v>
      </c>
      <c r="R71" s="2" t="s">
        <v>36</v>
      </c>
      <c r="S71" s="27">
        <f t="shared" si="100"/>
        <v>242448.93</v>
      </c>
      <c r="T71" s="39">
        <v>242448.93</v>
      </c>
      <c r="U71" s="39">
        <v>0</v>
      </c>
      <c r="V71" s="26">
        <f t="shared" si="56"/>
        <v>37080.43</v>
      </c>
      <c r="W71" s="39">
        <v>37080.43</v>
      </c>
      <c r="X71" s="74">
        <v>0</v>
      </c>
      <c r="Y71" s="25">
        <f t="shared" si="101"/>
        <v>5704.68</v>
      </c>
      <c r="Z71" s="39">
        <v>5704.68</v>
      </c>
      <c r="AA71" s="39">
        <v>0</v>
      </c>
      <c r="AB71" s="27">
        <f t="shared" si="57"/>
        <v>0</v>
      </c>
      <c r="AC71" s="39">
        <v>0</v>
      </c>
      <c r="AD71" s="39">
        <v>0</v>
      </c>
      <c r="AE71" s="27">
        <f t="shared" ref="AE71:AE110" si="102">S71+V71+Y71+AB71</f>
        <v>285234.03999999998</v>
      </c>
      <c r="AF71" s="28">
        <v>0</v>
      </c>
      <c r="AG71" s="27">
        <f t="shared" si="58"/>
        <v>285234.03999999998</v>
      </c>
      <c r="AH71" s="28" t="s">
        <v>627</v>
      </c>
      <c r="AI71" s="72" t="s">
        <v>187</v>
      </c>
      <c r="AJ71" s="77">
        <v>0</v>
      </c>
      <c r="AK71" s="39">
        <v>0</v>
      </c>
    </row>
    <row r="72" spans="1:37" ht="204.75" x14ac:dyDescent="0.25">
      <c r="A72" s="5">
        <v>66</v>
      </c>
      <c r="B72" s="67">
        <v>126419</v>
      </c>
      <c r="C72" s="144">
        <v>561</v>
      </c>
      <c r="D72" s="67" t="s">
        <v>175</v>
      </c>
      <c r="E72" s="13" t="s">
        <v>1018</v>
      </c>
      <c r="F72" s="119" t="s">
        <v>1191</v>
      </c>
      <c r="G72" s="7" t="s">
        <v>1196</v>
      </c>
      <c r="H72" s="20" t="s">
        <v>1020</v>
      </c>
      <c r="I72" s="13" t="s">
        <v>187</v>
      </c>
      <c r="J72" s="92" t="s">
        <v>1197</v>
      </c>
      <c r="K72" s="8">
        <v>43432</v>
      </c>
      <c r="L72" s="8">
        <v>44283</v>
      </c>
      <c r="M72" s="4">
        <f t="shared" ref="M72:M73" si="103">S72/AE72*100</f>
        <v>85</v>
      </c>
      <c r="N72" s="67">
        <v>2</v>
      </c>
      <c r="O72" s="13" t="s">
        <v>230</v>
      </c>
      <c r="P72" s="2" t="s">
        <v>228</v>
      </c>
      <c r="Q72" s="83" t="s">
        <v>216</v>
      </c>
      <c r="R72" s="84" t="s">
        <v>36</v>
      </c>
      <c r="S72" s="149">
        <f t="shared" ref="S72:S73" si="104">T72+U72</f>
        <v>2627225.9</v>
      </c>
      <c r="T72" s="29">
        <v>2627225.9</v>
      </c>
      <c r="U72" s="29">
        <v>0</v>
      </c>
      <c r="V72" s="26">
        <f t="shared" ref="V72:V73" si="105">W72+X72</f>
        <v>401811.02</v>
      </c>
      <c r="W72" s="25">
        <v>401811.02</v>
      </c>
      <c r="X72" s="29">
        <v>0</v>
      </c>
      <c r="Y72" s="96">
        <f t="shared" ref="Y72:Y73" si="106">Z72+AA72</f>
        <v>61817.079999999994</v>
      </c>
      <c r="Z72" s="150">
        <v>61817.079999999994</v>
      </c>
      <c r="AA72" s="29">
        <v>0</v>
      </c>
      <c r="AB72" s="27">
        <f t="shared" si="57"/>
        <v>0</v>
      </c>
      <c r="AC72" s="29">
        <v>0</v>
      </c>
      <c r="AD72" s="29">
        <v>0</v>
      </c>
      <c r="AE72" s="25">
        <f t="shared" ref="AE72:AE73" si="107">S72+V72+Y72+AB72</f>
        <v>3090854</v>
      </c>
      <c r="AF72" s="67">
        <v>0</v>
      </c>
      <c r="AG72" s="25">
        <f t="shared" ref="AG72:AG73" si="108">AE72+AF72</f>
        <v>3090854</v>
      </c>
      <c r="AH72" s="67" t="s">
        <v>627</v>
      </c>
      <c r="AI72" s="32" t="s">
        <v>187</v>
      </c>
      <c r="AJ72" s="97">
        <v>0</v>
      </c>
      <c r="AK72" s="38">
        <v>0</v>
      </c>
    </row>
    <row r="73" spans="1:37" ht="189" x14ac:dyDescent="0.25">
      <c r="A73" s="5">
        <v>67</v>
      </c>
      <c r="B73" s="67">
        <v>125256</v>
      </c>
      <c r="C73" s="144">
        <v>562</v>
      </c>
      <c r="D73" s="67" t="s">
        <v>177</v>
      </c>
      <c r="E73" s="13" t="s">
        <v>1018</v>
      </c>
      <c r="F73" s="119" t="s">
        <v>1191</v>
      </c>
      <c r="G73" s="7" t="s">
        <v>1229</v>
      </c>
      <c r="H73" s="6" t="s">
        <v>1230</v>
      </c>
      <c r="I73" s="13" t="s">
        <v>187</v>
      </c>
      <c r="J73" s="92" t="s">
        <v>1228</v>
      </c>
      <c r="K73" s="8">
        <v>43444</v>
      </c>
      <c r="L73" s="8">
        <v>43809</v>
      </c>
      <c r="M73" s="4">
        <f t="shared" si="103"/>
        <v>84.999999921204406</v>
      </c>
      <c r="N73" s="67">
        <v>2</v>
      </c>
      <c r="O73" s="13" t="s">
        <v>230</v>
      </c>
      <c r="P73" s="13" t="s">
        <v>230</v>
      </c>
      <c r="Q73" s="83" t="s">
        <v>216</v>
      </c>
      <c r="R73" s="84" t="s">
        <v>36</v>
      </c>
      <c r="S73" s="149">
        <f t="shared" si="104"/>
        <v>3236221.13</v>
      </c>
      <c r="T73" s="29">
        <v>3236221.13</v>
      </c>
      <c r="U73" s="29">
        <v>0</v>
      </c>
      <c r="V73" s="26">
        <f t="shared" si="105"/>
        <v>494951.47</v>
      </c>
      <c r="W73" s="25">
        <v>494951.47</v>
      </c>
      <c r="X73" s="29">
        <v>0</v>
      </c>
      <c r="Y73" s="96">
        <f t="shared" si="106"/>
        <v>76146.38</v>
      </c>
      <c r="Z73" s="150">
        <v>76146.38</v>
      </c>
      <c r="AA73" s="29">
        <v>0</v>
      </c>
      <c r="AB73" s="27">
        <f t="shared" si="57"/>
        <v>0</v>
      </c>
      <c r="AC73" s="29">
        <v>0</v>
      </c>
      <c r="AD73" s="29">
        <v>0</v>
      </c>
      <c r="AE73" s="25">
        <f t="shared" si="107"/>
        <v>3807318.9799999995</v>
      </c>
      <c r="AF73" s="67">
        <v>630578.23</v>
      </c>
      <c r="AG73" s="25">
        <f t="shared" si="108"/>
        <v>4437897.209999999</v>
      </c>
      <c r="AH73" s="67" t="s">
        <v>920</v>
      </c>
      <c r="AI73" s="32"/>
      <c r="AJ73" s="97">
        <v>0</v>
      </c>
      <c r="AK73" s="38">
        <v>0</v>
      </c>
    </row>
    <row r="74" spans="1:37" ht="141.75" x14ac:dyDescent="0.25">
      <c r="A74" s="2">
        <v>68</v>
      </c>
      <c r="B74" s="2">
        <v>111029</v>
      </c>
      <c r="C74" s="118">
        <v>126</v>
      </c>
      <c r="D74" s="2" t="s">
        <v>178</v>
      </c>
      <c r="E74" s="7" t="s">
        <v>1018</v>
      </c>
      <c r="F74" s="119" t="s">
        <v>366</v>
      </c>
      <c r="G74" s="21" t="s">
        <v>428</v>
      </c>
      <c r="H74" s="20" t="s">
        <v>429</v>
      </c>
      <c r="I74" s="13" t="s">
        <v>187</v>
      </c>
      <c r="J74" s="11" t="s">
        <v>430</v>
      </c>
      <c r="K74" s="104">
        <v>43208</v>
      </c>
      <c r="L74" s="8">
        <v>43695</v>
      </c>
      <c r="M74" s="4">
        <f t="shared" ref="M74" si="109">S74/AE74*100</f>
        <v>85.000001177275294</v>
      </c>
      <c r="N74" s="2">
        <v>3</v>
      </c>
      <c r="O74" s="2" t="s">
        <v>427</v>
      </c>
      <c r="P74" s="2" t="s">
        <v>427</v>
      </c>
      <c r="Q74" s="23" t="s">
        <v>216</v>
      </c>
      <c r="R74" s="2" t="s">
        <v>36</v>
      </c>
      <c r="S74" s="26">
        <f t="shared" ref="S74" si="110">T74+U74</f>
        <v>361003.08</v>
      </c>
      <c r="T74" s="25">
        <v>361003.08</v>
      </c>
      <c r="U74" s="25">
        <v>0</v>
      </c>
      <c r="V74" s="26">
        <f t="shared" si="56"/>
        <v>55212.23</v>
      </c>
      <c r="W74" s="25">
        <v>55212.23</v>
      </c>
      <c r="X74" s="25"/>
      <c r="Y74" s="26">
        <f>Z74+AA74</f>
        <v>8494.19</v>
      </c>
      <c r="Z74" s="25">
        <v>8494.19</v>
      </c>
      <c r="AA74" s="25">
        <v>0</v>
      </c>
      <c r="AB74" s="25">
        <f t="shared" si="57"/>
        <v>0</v>
      </c>
      <c r="AC74" s="25"/>
      <c r="AD74" s="25"/>
      <c r="AE74" s="25">
        <f t="shared" si="102"/>
        <v>424709.5</v>
      </c>
      <c r="AF74" s="25">
        <v>0</v>
      </c>
      <c r="AG74" s="25">
        <f t="shared" si="58"/>
        <v>424709.5</v>
      </c>
      <c r="AH74" s="28" t="s">
        <v>627</v>
      </c>
      <c r="AI74" s="72" t="s">
        <v>187</v>
      </c>
      <c r="AJ74" s="39">
        <f>42470.95-5481.19+41319.73-5371.57</f>
        <v>72937.919999999984</v>
      </c>
      <c r="AK74" s="29">
        <f>5481.19+5371.57</f>
        <v>10852.759999999998</v>
      </c>
    </row>
    <row r="75" spans="1:37" ht="141.75" x14ac:dyDescent="0.25">
      <c r="A75" s="5">
        <v>69</v>
      </c>
      <c r="B75" s="2">
        <v>116685</v>
      </c>
      <c r="C75" s="118">
        <v>407</v>
      </c>
      <c r="D75" s="2" t="s">
        <v>1135</v>
      </c>
      <c r="E75" s="7" t="s">
        <v>748</v>
      </c>
      <c r="F75" s="119" t="s">
        <v>653</v>
      </c>
      <c r="G75" s="21" t="s">
        <v>843</v>
      </c>
      <c r="H75" s="20" t="s">
        <v>846</v>
      </c>
      <c r="I75" s="13" t="s">
        <v>844</v>
      </c>
      <c r="J75" s="11" t="s">
        <v>845</v>
      </c>
      <c r="K75" s="104">
        <v>43298</v>
      </c>
      <c r="L75" s="8">
        <v>43755</v>
      </c>
      <c r="M75" s="4">
        <f>S75/AE75*100</f>
        <v>84.519596871951833</v>
      </c>
      <c r="N75" s="2">
        <v>3</v>
      </c>
      <c r="O75" s="2" t="s">
        <v>427</v>
      </c>
      <c r="P75" s="2" t="s">
        <v>427</v>
      </c>
      <c r="Q75" s="23" t="s">
        <v>216</v>
      </c>
      <c r="R75" s="2" t="s">
        <v>36</v>
      </c>
      <c r="S75" s="26">
        <v>335386.32</v>
      </c>
      <c r="T75" s="25">
        <v>335386.32</v>
      </c>
      <c r="U75" s="25">
        <v>0</v>
      </c>
      <c r="V75" s="26">
        <v>53492.24</v>
      </c>
      <c r="W75" s="25">
        <v>53492.24</v>
      </c>
      <c r="X75" s="25"/>
      <c r="Y75" s="26">
        <v>5693.57</v>
      </c>
      <c r="Z75" s="25">
        <v>5693.57</v>
      </c>
      <c r="AA75" s="25">
        <v>0</v>
      </c>
      <c r="AB75" s="25">
        <f>AC75+AD75</f>
        <v>2242.73</v>
      </c>
      <c r="AC75" s="25">
        <v>2242.73</v>
      </c>
      <c r="AD75" s="25">
        <v>0</v>
      </c>
      <c r="AE75" s="25">
        <f>S75+V75+Y75+AB75</f>
        <v>396814.86</v>
      </c>
      <c r="AF75" s="25">
        <v>0</v>
      </c>
      <c r="AG75" s="25">
        <f>AE75+AF75</f>
        <v>396814.86</v>
      </c>
      <c r="AH75" s="28" t="s">
        <v>627</v>
      </c>
      <c r="AI75" s="72" t="s">
        <v>187</v>
      </c>
      <c r="AJ75" s="39">
        <f>39681.48+14195.1+26259.61</f>
        <v>80136.19</v>
      </c>
      <c r="AK75" s="29">
        <f>7488.22+4204.9</f>
        <v>11693.119999999999</v>
      </c>
    </row>
    <row r="76" spans="1:37" ht="409.5" x14ac:dyDescent="0.25">
      <c r="A76" s="5">
        <v>70</v>
      </c>
      <c r="B76" s="2">
        <v>118751</v>
      </c>
      <c r="C76" s="118">
        <v>437</v>
      </c>
      <c r="D76" s="2" t="s">
        <v>1135</v>
      </c>
      <c r="E76" s="7" t="s">
        <v>748</v>
      </c>
      <c r="F76" s="119" t="s">
        <v>653</v>
      </c>
      <c r="G76" s="21" t="s">
        <v>1027</v>
      </c>
      <c r="H76" s="20" t="s">
        <v>429</v>
      </c>
      <c r="I76" s="13" t="s">
        <v>187</v>
      </c>
      <c r="J76" s="11" t="s">
        <v>1134</v>
      </c>
      <c r="K76" s="104">
        <v>43340</v>
      </c>
      <c r="L76" s="8">
        <v>43644</v>
      </c>
      <c r="M76" s="4">
        <f t="shared" ref="M76:M77" si="111">S76/AE76*100</f>
        <v>85.000001668371198</v>
      </c>
      <c r="N76" s="2">
        <v>3</v>
      </c>
      <c r="O76" s="2" t="s">
        <v>427</v>
      </c>
      <c r="P76" s="2" t="s">
        <v>427</v>
      </c>
      <c r="Q76" s="23" t="s">
        <v>216</v>
      </c>
      <c r="R76" s="2" t="s">
        <v>36</v>
      </c>
      <c r="S76" s="26">
        <v>254739.48</v>
      </c>
      <c r="T76" s="29">
        <v>254739.48</v>
      </c>
      <c r="U76" s="25">
        <v>0</v>
      </c>
      <c r="V76" s="26">
        <v>38960.15</v>
      </c>
      <c r="W76" s="25">
        <v>38960.15</v>
      </c>
      <c r="X76" s="25">
        <v>0</v>
      </c>
      <c r="Y76" s="26">
        <f>Z76+AA76</f>
        <v>5993.87</v>
      </c>
      <c r="Z76" s="25">
        <v>5993.87</v>
      </c>
      <c r="AA76" s="25">
        <v>0</v>
      </c>
      <c r="AB76" s="25">
        <f t="shared" si="57"/>
        <v>0</v>
      </c>
      <c r="AC76" s="25">
        <v>0</v>
      </c>
      <c r="AD76" s="25">
        <v>0</v>
      </c>
      <c r="AE76" s="25">
        <f t="shared" si="102"/>
        <v>299693.5</v>
      </c>
      <c r="AF76" s="25">
        <v>0</v>
      </c>
      <c r="AG76" s="25">
        <f t="shared" si="58"/>
        <v>299693.5</v>
      </c>
      <c r="AH76" s="28" t="s">
        <v>627</v>
      </c>
      <c r="AI76" s="72" t="s">
        <v>187</v>
      </c>
      <c r="AJ76" s="39">
        <f>29969-3256.9</f>
        <v>26712.1</v>
      </c>
      <c r="AK76" s="29">
        <v>3256.9</v>
      </c>
    </row>
    <row r="77" spans="1:37" ht="210" x14ac:dyDescent="0.25">
      <c r="A77" s="2">
        <v>71</v>
      </c>
      <c r="B77" s="123">
        <v>126535</v>
      </c>
      <c r="C77" s="118">
        <v>564</v>
      </c>
      <c r="D77" s="112" t="s">
        <v>175</v>
      </c>
      <c r="E77" s="7" t="s">
        <v>748</v>
      </c>
      <c r="F77" s="119" t="s">
        <v>1191</v>
      </c>
      <c r="G77" s="123" t="s">
        <v>1252</v>
      </c>
      <c r="H77" s="84" t="s">
        <v>429</v>
      </c>
      <c r="I77" s="112" t="s">
        <v>187</v>
      </c>
      <c r="J77" s="107" t="s">
        <v>1253</v>
      </c>
      <c r="K77" s="104">
        <v>43447</v>
      </c>
      <c r="L77" s="8">
        <v>44178</v>
      </c>
      <c r="M77" s="4">
        <f t="shared" si="111"/>
        <v>85</v>
      </c>
      <c r="N77" s="2">
        <v>3</v>
      </c>
      <c r="O77" s="2" t="s">
        <v>427</v>
      </c>
      <c r="P77" s="2" t="s">
        <v>427</v>
      </c>
      <c r="Q77" s="23" t="s">
        <v>216</v>
      </c>
      <c r="R77" s="2" t="s">
        <v>36</v>
      </c>
      <c r="S77" s="26">
        <f>T77+U77</f>
        <v>3199377.9</v>
      </c>
      <c r="T77" s="29">
        <v>3199377.9</v>
      </c>
      <c r="U77" s="29">
        <v>0</v>
      </c>
      <c r="V77" s="171">
        <f>W77+X77</f>
        <v>489316.62</v>
      </c>
      <c r="W77" s="29">
        <v>489316.62</v>
      </c>
      <c r="X77" s="29">
        <v>0</v>
      </c>
      <c r="Y77" s="26">
        <f t="shared" ref="Y77" si="112">Z77+AA77</f>
        <v>75279.48</v>
      </c>
      <c r="Z77" s="25">
        <v>75279.48</v>
      </c>
      <c r="AA77" s="25">
        <v>0</v>
      </c>
      <c r="AB77" s="25">
        <f t="shared" si="57"/>
        <v>0</v>
      </c>
      <c r="AC77" s="29">
        <v>0</v>
      </c>
      <c r="AD77" s="29">
        <v>0</v>
      </c>
      <c r="AE77" s="25">
        <f t="shared" si="102"/>
        <v>3763974</v>
      </c>
      <c r="AF77" s="32"/>
      <c r="AG77" s="25">
        <f t="shared" si="58"/>
        <v>3763974</v>
      </c>
      <c r="AH77" s="28" t="s">
        <v>627</v>
      </c>
      <c r="AI77" s="72"/>
      <c r="AJ77" s="31">
        <v>0</v>
      </c>
      <c r="AK77" s="31">
        <v>0</v>
      </c>
    </row>
    <row r="78" spans="1:37" ht="141.75" x14ac:dyDescent="0.25">
      <c r="A78" s="5">
        <v>72</v>
      </c>
      <c r="B78" s="2">
        <v>120638</v>
      </c>
      <c r="C78" s="118">
        <v>97</v>
      </c>
      <c r="D78" s="2" t="s">
        <v>177</v>
      </c>
      <c r="E78" s="7" t="s">
        <v>1018</v>
      </c>
      <c r="F78" s="119" t="s">
        <v>366</v>
      </c>
      <c r="G78" s="6" t="s">
        <v>312</v>
      </c>
      <c r="H78" s="6" t="s">
        <v>311</v>
      </c>
      <c r="I78" s="2" t="s">
        <v>187</v>
      </c>
      <c r="J78" s="3" t="s">
        <v>313</v>
      </c>
      <c r="K78" s="104">
        <v>43145</v>
      </c>
      <c r="L78" s="8">
        <v>43630</v>
      </c>
      <c r="M78" s="4">
        <f t="shared" ref="M78:M80" si="113">S78/AE78*100</f>
        <v>84.999998641808133</v>
      </c>
      <c r="N78" s="2">
        <v>4</v>
      </c>
      <c r="O78" s="2" t="s">
        <v>309</v>
      </c>
      <c r="P78" s="2" t="s">
        <v>310</v>
      </c>
      <c r="Q78" s="18" t="s">
        <v>216</v>
      </c>
      <c r="R78" s="2" t="s">
        <v>36</v>
      </c>
      <c r="S78" s="25">
        <f t="shared" ref="S78:S80" si="114">T78+U78</f>
        <v>312916.02</v>
      </c>
      <c r="T78" s="120">
        <v>312916.02</v>
      </c>
      <c r="U78" s="102">
        <v>0</v>
      </c>
      <c r="V78" s="26">
        <f t="shared" si="56"/>
        <v>47857.75</v>
      </c>
      <c r="W78" s="25">
        <v>47857.75</v>
      </c>
      <c r="X78" s="25">
        <v>0</v>
      </c>
      <c r="Y78" s="25">
        <f t="shared" ref="Y78:Y80" si="115">Z78+AA78</f>
        <v>7362.73</v>
      </c>
      <c r="Z78" s="25">
        <v>7362.73</v>
      </c>
      <c r="AA78" s="25">
        <v>0</v>
      </c>
      <c r="AB78" s="25">
        <f t="shared" si="57"/>
        <v>0</v>
      </c>
      <c r="AC78" s="25"/>
      <c r="AD78" s="25"/>
      <c r="AE78" s="25">
        <f t="shared" si="102"/>
        <v>368136.5</v>
      </c>
      <c r="AF78" s="25">
        <v>0</v>
      </c>
      <c r="AG78" s="25">
        <f t="shared" si="58"/>
        <v>368136.5</v>
      </c>
      <c r="AH78" s="28" t="s">
        <v>627</v>
      </c>
      <c r="AI78" s="72"/>
      <c r="AJ78" s="39">
        <f>52755.63+22985.7</f>
        <v>75741.33</v>
      </c>
      <c r="AK78" s="29">
        <f>8068.51+3515.46</f>
        <v>11583.970000000001</v>
      </c>
    </row>
    <row r="79" spans="1:37" ht="157.5" x14ac:dyDescent="0.25">
      <c r="A79" s="5">
        <v>73</v>
      </c>
      <c r="B79" s="81">
        <v>120714</v>
      </c>
      <c r="C79" s="118">
        <v>111</v>
      </c>
      <c r="D79" s="118" t="s">
        <v>177</v>
      </c>
      <c r="E79" s="7" t="s">
        <v>1018</v>
      </c>
      <c r="F79" s="119" t="s">
        <v>366</v>
      </c>
      <c r="G79" s="6" t="s">
        <v>332</v>
      </c>
      <c r="H79" s="6" t="s">
        <v>330</v>
      </c>
      <c r="I79" s="2" t="s">
        <v>331</v>
      </c>
      <c r="J79" s="11" t="s">
        <v>556</v>
      </c>
      <c r="K79" s="104">
        <v>43166</v>
      </c>
      <c r="L79" s="8">
        <v>43653</v>
      </c>
      <c r="M79" s="4">
        <f t="shared" si="113"/>
        <v>85</v>
      </c>
      <c r="N79" s="2">
        <v>4</v>
      </c>
      <c r="O79" s="2" t="s">
        <v>309</v>
      </c>
      <c r="P79" s="2" t="s">
        <v>310</v>
      </c>
      <c r="Q79" s="18" t="s">
        <v>216</v>
      </c>
      <c r="R79" s="2" t="s">
        <v>36</v>
      </c>
      <c r="S79" s="25">
        <f t="shared" si="114"/>
        <v>355906.39</v>
      </c>
      <c r="T79" s="130">
        <v>355906.39</v>
      </c>
      <c r="U79" s="130">
        <v>0</v>
      </c>
      <c r="V79" s="26">
        <f t="shared" si="56"/>
        <v>54432.74</v>
      </c>
      <c r="W79" s="25">
        <v>54432.74</v>
      </c>
      <c r="X79" s="25">
        <v>0</v>
      </c>
      <c r="Y79" s="25">
        <f t="shared" si="115"/>
        <v>8374.27</v>
      </c>
      <c r="Z79" s="25">
        <v>8374.27</v>
      </c>
      <c r="AA79" s="25">
        <v>0</v>
      </c>
      <c r="AB79" s="25">
        <f t="shared" si="57"/>
        <v>0</v>
      </c>
      <c r="AC79" s="25"/>
      <c r="AD79" s="25"/>
      <c r="AE79" s="25">
        <f t="shared" si="102"/>
        <v>418713.4</v>
      </c>
      <c r="AF79" s="25">
        <v>0</v>
      </c>
      <c r="AG79" s="25">
        <f t="shared" si="58"/>
        <v>418713.4</v>
      </c>
      <c r="AH79" s="28" t="s">
        <v>627</v>
      </c>
      <c r="AI79" s="72" t="s">
        <v>187</v>
      </c>
      <c r="AJ79" s="39">
        <f>3489.68+25692.1</f>
        <v>29181.78</v>
      </c>
      <c r="AK79" s="29">
        <f>533.71+3929.38</f>
        <v>4463.09</v>
      </c>
    </row>
    <row r="80" spans="1:37" ht="141.75" x14ac:dyDescent="0.25">
      <c r="A80" s="2">
        <v>74</v>
      </c>
      <c r="B80" s="81">
        <v>119758</v>
      </c>
      <c r="C80" s="118">
        <v>460</v>
      </c>
      <c r="D80" s="118" t="s">
        <v>178</v>
      </c>
      <c r="E80" s="13" t="s">
        <v>1093</v>
      </c>
      <c r="F80" s="119" t="s">
        <v>584</v>
      </c>
      <c r="G80" s="172" t="s">
        <v>615</v>
      </c>
      <c r="H80" s="6" t="s">
        <v>616</v>
      </c>
      <c r="I80" s="2" t="s">
        <v>187</v>
      </c>
      <c r="J80" s="11" t="s">
        <v>617</v>
      </c>
      <c r="K80" s="104">
        <v>43264</v>
      </c>
      <c r="L80" s="8">
        <v>43751</v>
      </c>
      <c r="M80" s="4">
        <f t="shared" si="113"/>
        <v>85</v>
      </c>
      <c r="N80" s="2">
        <v>4</v>
      </c>
      <c r="O80" s="2" t="s">
        <v>309</v>
      </c>
      <c r="P80" s="2" t="s">
        <v>618</v>
      </c>
      <c r="Q80" s="18" t="s">
        <v>216</v>
      </c>
      <c r="R80" s="2" t="s">
        <v>36</v>
      </c>
      <c r="S80" s="25">
        <f t="shared" si="114"/>
        <v>356536.75</v>
      </c>
      <c r="T80" s="130">
        <v>356536.75</v>
      </c>
      <c r="U80" s="130">
        <v>0</v>
      </c>
      <c r="V80" s="26">
        <f t="shared" si="56"/>
        <v>54529.15</v>
      </c>
      <c r="W80" s="25">
        <v>54529.15</v>
      </c>
      <c r="X80" s="25"/>
      <c r="Y80" s="25">
        <f t="shared" si="115"/>
        <v>8389.1</v>
      </c>
      <c r="Z80" s="25">
        <v>8389.1</v>
      </c>
      <c r="AA80" s="25">
        <v>0</v>
      </c>
      <c r="AB80" s="25">
        <f t="shared" ref="AB80" si="116">AC80+AD80</f>
        <v>0</v>
      </c>
      <c r="AC80" s="25"/>
      <c r="AD80" s="25"/>
      <c r="AE80" s="25">
        <f t="shared" si="102"/>
        <v>419455</v>
      </c>
      <c r="AF80" s="25"/>
      <c r="AG80" s="25">
        <f t="shared" si="58"/>
        <v>419455</v>
      </c>
      <c r="AH80" s="28" t="s">
        <v>627</v>
      </c>
      <c r="AI80" s="72"/>
      <c r="AJ80" s="77">
        <f>41000-4123.49+46557.9</f>
        <v>83434.41</v>
      </c>
      <c r="AK80" s="29">
        <f>5639.94+7120.62</f>
        <v>12760.56</v>
      </c>
    </row>
    <row r="81" spans="1:37" ht="173.25" x14ac:dyDescent="0.25">
      <c r="A81" s="5">
        <v>75</v>
      </c>
      <c r="B81" s="81">
        <v>116766</v>
      </c>
      <c r="C81" s="118">
        <v>409</v>
      </c>
      <c r="D81" s="118" t="s">
        <v>643</v>
      </c>
      <c r="E81" s="7" t="s">
        <v>748</v>
      </c>
      <c r="F81" s="90" t="s">
        <v>653</v>
      </c>
      <c r="G81" s="173" t="s">
        <v>699</v>
      </c>
      <c r="H81" s="6" t="s">
        <v>331</v>
      </c>
      <c r="I81" s="112" t="s">
        <v>187</v>
      </c>
      <c r="J81" s="6" t="s">
        <v>700</v>
      </c>
      <c r="K81" s="104">
        <v>43278</v>
      </c>
      <c r="L81" s="8">
        <v>43765</v>
      </c>
      <c r="M81" s="4">
        <f>S81/AE81*100</f>
        <v>85.000000275422053</v>
      </c>
      <c r="N81" s="2">
        <v>4</v>
      </c>
      <c r="O81" s="2" t="s">
        <v>309</v>
      </c>
      <c r="P81" s="112" t="s">
        <v>701</v>
      </c>
      <c r="Q81" s="100" t="s">
        <v>216</v>
      </c>
      <c r="R81" s="2" t="s">
        <v>36</v>
      </c>
      <c r="S81" s="25">
        <v>308617.27</v>
      </c>
      <c r="T81" s="130">
        <v>308617.28000000003</v>
      </c>
      <c r="U81" s="130">
        <v>0</v>
      </c>
      <c r="V81" s="26">
        <v>47200.29</v>
      </c>
      <c r="W81" s="25">
        <v>47200.29</v>
      </c>
      <c r="X81" s="25">
        <v>0</v>
      </c>
      <c r="Y81" s="25">
        <v>7261.58</v>
      </c>
      <c r="Z81" s="25">
        <v>7261.58</v>
      </c>
      <c r="AA81" s="89">
        <v>0</v>
      </c>
      <c r="AB81" s="25">
        <f>AC81+AD81</f>
        <v>0</v>
      </c>
      <c r="AC81" s="89">
        <v>0</v>
      </c>
      <c r="AD81" s="89">
        <v>0</v>
      </c>
      <c r="AE81" s="25">
        <f>S81+V81+Y81+AB81</f>
        <v>363079.14</v>
      </c>
      <c r="AF81" s="101">
        <v>0</v>
      </c>
      <c r="AG81" s="25">
        <f>AE81+AF81</f>
        <v>363079.14</v>
      </c>
      <c r="AH81" s="28" t="s">
        <v>627</v>
      </c>
      <c r="AI81" s="91" t="s">
        <v>187</v>
      </c>
      <c r="AJ81" s="77">
        <v>0</v>
      </c>
      <c r="AK81" s="31">
        <v>0</v>
      </c>
    </row>
    <row r="82" spans="1:37" ht="141.75" x14ac:dyDescent="0.25">
      <c r="A82" s="5">
        <v>76</v>
      </c>
      <c r="B82" s="81">
        <v>126293</v>
      </c>
      <c r="C82" s="118">
        <v>523</v>
      </c>
      <c r="D82" s="112" t="s">
        <v>178</v>
      </c>
      <c r="E82" s="7" t="s">
        <v>1018</v>
      </c>
      <c r="F82" s="13" t="s">
        <v>1191</v>
      </c>
      <c r="G82" s="7" t="s">
        <v>1238</v>
      </c>
      <c r="H82" s="7" t="s">
        <v>1207</v>
      </c>
      <c r="I82" s="112" t="s">
        <v>187</v>
      </c>
      <c r="J82" s="7" t="s">
        <v>1208</v>
      </c>
      <c r="K82" s="104">
        <v>43437</v>
      </c>
      <c r="L82" s="8">
        <v>44289</v>
      </c>
      <c r="M82" s="4">
        <f>S82/AE82*100</f>
        <v>85.000000538702352</v>
      </c>
      <c r="N82" s="2">
        <v>4</v>
      </c>
      <c r="O82" s="2" t="s">
        <v>309</v>
      </c>
      <c r="P82" s="112" t="s">
        <v>701</v>
      </c>
      <c r="Q82" s="112" t="s">
        <v>216</v>
      </c>
      <c r="R82" s="2" t="s">
        <v>36</v>
      </c>
      <c r="S82" s="25">
        <f>T82+U82</f>
        <v>2366798.75</v>
      </c>
      <c r="T82" s="130">
        <v>2366798.75</v>
      </c>
      <c r="U82" s="130">
        <v>0</v>
      </c>
      <c r="V82" s="26">
        <f>W82+X82</f>
        <v>361980.97</v>
      </c>
      <c r="W82" s="25">
        <v>361980.97</v>
      </c>
      <c r="X82" s="25">
        <v>0</v>
      </c>
      <c r="Y82" s="25">
        <f>Z82+AA82</f>
        <v>55689.38</v>
      </c>
      <c r="Z82" s="25">
        <v>55689.38</v>
      </c>
      <c r="AA82" s="29">
        <v>0</v>
      </c>
      <c r="AB82" s="25">
        <f>AC82+AD82</f>
        <v>0</v>
      </c>
      <c r="AC82" s="29">
        <v>0</v>
      </c>
      <c r="AD82" s="29">
        <v>0</v>
      </c>
      <c r="AE82" s="25">
        <f>S82+V82+Y82</f>
        <v>2784469.0999999996</v>
      </c>
      <c r="AF82" s="25">
        <v>129948</v>
      </c>
      <c r="AG82" s="25">
        <f>AE82+AF82+AB82</f>
        <v>2914417.0999999996</v>
      </c>
      <c r="AH82" s="28" t="s">
        <v>627</v>
      </c>
      <c r="AI82" s="91" t="s">
        <v>187</v>
      </c>
      <c r="AJ82" s="31">
        <v>0</v>
      </c>
      <c r="AK82" s="31">
        <v>0</v>
      </c>
    </row>
    <row r="83" spans="1:37" ht="141.75" x14ac:dyDescent="0.25">
      <c r="A83" s="2">
        <v>77</v>
      </c>
      <c r="B83" s="81">
        <v>126212</v>
      </c>
      <c r="C83" s="118">
        <v>516</v>
      </c>
      <c r="D83" s="112" t="s">
        <v>178</v>
      </c>
      <c r="E83" s="7" t="s">
        <v>1018</v>
      </c>
      <c r="F83" s="13" t="s">
        <v>1191</v>
      </c>
      <c r="G83" s="7" t="s">
        <v>1237</v>
      </c>
      <c r="H83" s="7" t="s">
        <v>616</v>
      </c>
      <c r="I83" s="112" t="s">
        <v>187</v>
      </c>
      <c r="J83" s="7" t="s">
        <v>1236</v>
      </c>
      <c r="K83" s="104">
        <v>43445</v>
      </c>
      <c r="L83" s="8">
        <v>43993</v>
      </c>
      <c r="M83" s="4">
        <f t="shared" ref="M83:M84" si="117">S83/AE83*100</f>
        <v>85.000000138721092</v>
      </c>
      <c r="N83" s="2">
        <v>4</v>
      </c>
      <c r="O83" s="2" t="s">
        <v>309</v>
      </c>
      <c r="P83" s="2" t="s">
        <v>618</v>
      </c>
      <c r="Q83" s="2" t="s">
        <v>216</v>
      </c>
      <c r="R83" s="2" t="s">
        <v>36</v>
      </c>
      <c r="S83" s="25">
        <f t="shared" ref="S83:S84" si="118">T83+U83</f>
        <v>3063701.5</v>
      </c>
      <c r="T83" s="130">
        <v>3063701.5</v>
      </c>
      <c r="U83" s="130">
        <v>0</v>
      </c>
      <c r="V83" s="26">
        <f t="shared" ref="V83:V84" si="119">W83+X83</f>
        <v>468566.11</v>
      </c>
      <c r="W83" s="25">
        <v>468566.11</v>
      </c>
      <c r="X83" s="25">
        <v>0</v>
      </c>
      <c r="Y83" s="25">
        <f t="shared" ref="Y83:Y84" si="120">Z83+AA83</f>
        <v>72087.09</v>
      </c>
      <c r="Z83" s="25">
        <v>72087.09</v>
      </c>
      <c r="AA83" s="29">
        <v>0</v>
      </c>
      <c r="AB83" s="25">
        <f t="shared" ref="AB83:AB84" si="121">AC83+AD83</f>
        <v>0</v>
      </c>
      <c r="AC83" s="29">
        <v>0</v>
      </c>
      <c r="AD83" s="29">
        <v>0</v>
      </c>
      <c r="AE83" s="25">
        <f t="shared" ref="AE83:AE84" si="122">S83+V83+Y83</f>
        <v>3604354.6999999997</v>
      </c>
      <c r="AF83" s="32">
        <v>0</v>
      </c>
      <c r="AG83" s="25">
        <f t="shared" ref="AG83:AG84" si="123">AE83+AF83+AB83</f>
        <v>3604354.6999999997</v>
      </c>
      <c r="AH83" s="28" t="s">
        <v>627</v>
      </c>
      <c r="AI83" s="91" t="s">
        <v>187</v>
      </c>
      <c r="AJ83" s="31">
        <v>0</v>
      </c>
      <c r="AK83" s="31">
        <v>0</v>
      </c>
    </row>
    <row r="84" spans="1:37" ht="156.75" customHeight="1" x14ac:dyDescent="0.25">
      <c r="A84" s="5">
        <v>78</v>
      </c>
      <c r="B84" s="81">
        <v>125603</v>
      </c>
      <c r="C84" s="118">
        <v>528</v>
      </c>
      <c r="D84" s="112" t="s">
        <v>689</v>
      </c>
      <c r="E84" s="7" t="s">
        <v>1018</v>
      </c>
      <c r="F84" s="13" t="s">
        <v>1191</v>
      </c>
      <c r="G84" s="7" t="s">
        <v>1298</v>
      </c>
      <c r="H84" s="7" t="s">
        <v>311</v>
      </c>
      <c r="I84" s="112" t="s">
        <v>187</v>
      </c>
      <c r="J84" s="7" t="s">
        <v>1299</v>
      </c>
      <c r="K84" s="104">
        <v>43486</v>
      </c>
      <c r="L84" s="8">
        <v>44398</v>
      </c>
      <c r="M84" s="4">
        <f t="shared" si="117"/>
        <v>85.000000127543871</v>
      </c>
      <c r="N84" s="2">
        <v>4</v>
      </c>
      <c r="O84" s="2" t="s">
        <v>309</v>
      </c>
      <c r="P84" s="112" t="s">
        <v>701</v>
      </c>
      <c r="Q84" s="112" t="s">
        <v>216</v>
      </c>
      <c r="R84" s="2" t="s">
        <v>36</v>
      </c>
      <c r="S84" s="25">
        <f t="shared" si="118"/>
        <v>2998968.16</v>
      </c>
      <c r="T84" s="130">
        <v>2998968.16</v>
      </c>
      <c r="U84" s="130">
        <v>0</v>
      </c>
      <c r="V84" s="26">
        <f t="shared" si="119"/>
        <v>458665.73</v>
      </c>
      <c r="W84" s="25">
        <v>458665.73</v>
      </c>
      <c r="X84" s="25">
        <v>0</v>
      </c>
      <c r="Y84" s="25">
        <f t="shared" si="120"/>
        <v>70563.94</v>
      </c>
      <c r="Z84" s="25">
        <v>70563.94</v>
      </c>
      <c r="AA84" s="29">
        <v>0</v>
      </c>
      <c r="AB84" s="25">
        <f t="shared" si="121"/>
        <v>0</v>
      </c>
      <c r="AC84" s="29">
        <v>0</v>
      </c>
      <c r="AD84" s="29">
        <v>0</v>
      </c>
      <c r="AE84" s="25">
        <f t="shared" si="122"/>
        <v>3528197.83</v>
      </c>
      <c r="AF84" s="32">
        <v>0</v>
      </c>
      <c r="AG84" s="25">
        <f t="shared" si="123"/>
        <v>3528197.83</v>
      </c>
      <c r="AH84" s="28" t="s">
        <v>627</v>
      </c>
      <c r="AI84" s="91"/>
      <c r="AJ84" s="31"/>
      <c r="AK84" s="31"/>
    </row>
    <row r="85" spans="1:37" ht="141.75" x14ac:dyDescent="0.25">
      <c r="A85" s="5">
        <v>79</v>
      </c>
      <c r="B85" s="67">
        <v>111237</v>
      </c>
      <c r="C85" s="118">
        <v>124</v>
      </c>
      <c r="D85" s="2" t="s">
        <v>178</v>
      </c>
      <c r="E85" s="7" t="s">
        <v>1018</v>
      </c>
      <c r="F85" s="119" t="s">
        <v>366</v>
      </c>
      <c r="G85" s="6" t="s">
        <v>557</v>
      </c>
      <c r="H85" s="6" t="s">
        <v>295</v>
      </c>
      <c r="I85" s="13" t="s">
        <v>187</v>
      </c>
      <c r="J85" s="11" t="s">
        <v>558</v>
      </c>
      <c r="K85" s="104">
        <v>43145</v>
      </c>
      <c r="L85" s="8">
        <v>43510</v>
      </c>
      <c r="M85" s="4">
        <f t="shared" ref="M85:M86" si="124">S85/AE85*100</f>
        <v>85.000000000000014</v>
      </c>
      <c r="N85" s="2">
        <v>7</v>
      </c>
      <c r="O85" s="174" t="s">
        <v>300</v>
      </c>
      <c r="P85" s="2" t="s">
        <v>294</v>
      </c>
      <c r="Q85" s="23" t="s">
        <v>216</v>
      </c>
      <c r="R85" s="13" t="s">
        <v>36</v>
      </c>
      <c r="S85" s="40">
        <f t="shared" ref="S85:S86" si="125">T85+U85</f>
        <v>306686.8</v>
      </c>
      <c r="T85" s="130">
        <v>306686.8</v>
      </c>
      <c r="U85" s="175">
        <v>0</v>
      </c>
      <c r="V85" s="26">
        <f t="shared" ref="V85:V114" si="126">W85+X85</f>
        <v>46905.04</v>
      </c>
      <c r="W85" s="25">
        <v>46905.04</v>
      </c>
      <c r="X85" s="25">
        <v>0</v>
      </c>
      <c r="Y85" s="25">
        <f t="shared" ref="Y85:Y86" si="127">Z85+AA85</f>
        <v>7216.16</v>
      </c>
      <c r="Z85" s="25">
        <v>7216.16</v>
      </c>
      <c r="AA85" s="25">
        <v>0</v>
      </c>
      <c r="AB85" s="25">
        <f t="shared" ref="AB85:AB114" si="128">AC85+AD85</f>
        <v>0</v>
      </c>
      <c r="AC85" s="25"/>
      <c r="AD85" s="25"/>
      <c r="AE85" s="25">
        <f t="shared" si="102"/>
        <v>360807.99999999994</v>
      </c>
      <c r="AF85" s="25">
        <v>0</v>
      </c>
      <c r="AG85" s="25">
        <f t="shared" ref="AG85:AG116" si="129">AE85+AF85</f>
        <v>360807.99999999994</v>
      </c>
      <c r="AH85" s="28" t="s">
        <v>627</v>
      </c>
      <c r="AI85" s="72" t="s">
        <v>187</v>
      </c>
      <c r="AJ85" s="39">
        <v>0</v>
      </c>
      <c r="AK85" s="29">
        <v>0</v>
      </c>
    </row>
    <row r="86" spans="1:37" ht="204.75" x14ac:dyDescent="0.25">
      <c r="A86" s="2">
        <v>80</v>
      </c>
      <c r="B86" s="81">
        <v>122784</v>
      </c>
      <c r="C86" s="118">
        <v>94</v>
      </c>
      <c r="D86" s="112" t="s">
        <v>177</v>
      </c>
      <c r="E86" s="7" t="s">
        <v>1018</v>
      </c>
      <c r="F86" s="119" t="s">
        <v>366</v>
      </c>
      <c r="G86" s="7" t="s">
        <v>1081</v>
      </c>
      <c r="H86" s="7" t="s">
        <v>1080</v>
      </c>
      <c r="I86" s="7" t="s">
        <v>187</v>
      </c>
      <c r="J86" s="11" t="s">
        <v>1177</v>
      </c>
      <c r="K86" s="8">
        <v>43264</v>
      </c>
      <c r="L86" s="8">
        <v>43751</v>
      </c>
      <c r="M86" s="4">
        <f t="shared" si="124"/>
        <v>85.000002941982572</v>
      </c>
      <c r="N86" s="2">
        <v>7</v>
      </c>
      <c r="O86" s="176" t="s">
        <v>300</v>
      </c>
      <c r="P86" s="2" t="s">
        <v>1082</v>
      </c>
      <c r="Q86" s="23" t="s">
        <v>216</v>
      </c>
      <c r="R86" s="13" t="s">
        <v>36</v>
      </c>
      <c r="S86" s="40">
        <f t="shared" si="125"/>
        <v>361151.03</v>
      </c>
      <c r="T86" s="38">
        <v>361151.03</v>
      </c>
      <c r="U86" s="33">
        <v>0</v>
      </c>
      <c r="V86" s="26">
        <f t="shared" si="126"/>
        <v>55234.85</v>
      </c>
      <c r="W86" s="33">
        <v>55234.85</v>
      </c>
      <c r="X86" s="33">
        <v>0</v>
      </c>
      <c r="Y86" s="25">
        <f t="shared" si="127"/>
        <v>8497.67</v>
      </c>
      <c r="Z86" s="38">
        <v>8497.67</v>
      </c>
      <c r="AA86" s="38">
        <v>0</v>
      </c>
      <c r="AB86" s="25">
        <f t="shared" si="128"/>
        <v>0</v>
      </c>
      <c r="AC86" s="33"/>
      <c r="AD86" s="33"/>
      <c r="AE86" s="25">
        <f t="shared" si="102"/>
        <v>424883.55</v>
      </c>
      <c r="AF86" s="25">
        <v>0</v>
      </c>
      <c r="AG86" s="25">
        <f t="shared" si="129"/>
        <v>424883.55</v>
      </c>
      <c r="AH86" s="28" t="s">
        <v>1083</v>
      </c>
      <c r="AI86" s="32"/>
      <c r="AJ86" s="77">
        <v>0</v>
      </c>
      <c r="AK86" s="39">
        <v>0</v>
      </c>
    </row>
    <row r="87" spans="1:37" ht="173.25" x14ac:dyDescent="0.25">
      <c r="A87" s="5">
        <v>81</v>
      </c>
      <c r="B87" s="67">
        <v>120617</v>
      </c>
      <c r="C87" s="118">
        <v>79</v>
      </c>
      <c r="D87" s="2" t="s">
        <v>178</v>
      </c>
      <c r="E87" s="7" t="s">
        <v>1018</v>
      </c>
      <c r="F87" s="119" t="s">
        <v>366</v>
      </c>
      <c r="G87" s="177" t="s">
        <v>287</v>
      </c>
      <c r="H87" s="82" t="s">
        <v>288</v>
      </c>
      <c r="I87" s="13" t="s">
        <v>187</v>
      </c>
      <c r="J87" s="11" t="s">
        <v>291</v>
      </c>
      <c r="K87" s="104">
        <v>43145</v>
      </c>
      <c r="L87" s="8">
        <v>43630</v>
      </c>
      <c r="M87" s="4">
        <f t="shared" ref="M87:M89" si="130">S87/AE87*100</f>
        <v>84.999999644441075</v>
      </c>
      <c r="N87" s="2">
        <v>5</v>
      </c>
      <c r="O87" s="2" t="s">
        <v>298</v>
      </c>
      <c r="P87" s="2" t="s">
        <v>292</v>
      </c>
      <c r="Q87" s="23" t="s">
        <v>216</v>
      </c>
      <c r="R87" s="13" t="s">
        <v>36</v>
      </c>
      <c r="S87" s="25">
        <f>T87+U87</f>
        <v>358590.34</v>
      </c>
      <c r="T87" s="130">
        <v>358590.34</v>
      </c>
      <c r="U87" s="25">
        <v>0</v>
      </c>
      <c r="V87" s="26">
        <f t="shared" si="126"/>
        <v>54843.23</v>
      </c>
      <c r="W87" s="130">
        <v>54843.23</v>
      </c>
      <c r="X87" s="26">
        <v>0</v>
      </c>
      <c r="Y87" s="26">
        <f t="shared" ref="Y87:Y89" si="131">Z87+AA87</f>
        <v>8437.42</v>
      </c>
      <c r="Z87" s="130">
        <v>8437.42</v>
      </c>
      <c r="AA87" s="26">
        <v>0</v>
      </c>
      <c r="AB87" s="25">
        <f t="shared" si="128"/>
        <v>0</v>
      </c>
      <c r="AC87" s="25"/>
      <c r="AD87" s="25"/>
      <c r="AE87" s="25">
        <f t="shared" si="102"/>
        <v>421870.99</v>
      </c>
      <c r="AF87" s="25">
        <v>0</v>
      </c>
      <c r="AG87" s="25">
        <f t="shared" si="129"/>
        <v>421870.99</v>
      </c>
      <c r="AH87" s="28" t="s">
        <v>627</v>
      </c>
      <c r="AI87" s="72" t="s">
        <v>187</v>
      </c>
      <c r="AJ87" s="39">
        <f>96397.63+83926.36</f>
        <v>180323.99</v>
      </c>
      <c r="AK87" s="29">
        <f>9960.19+14072.92</f>
        <v>24033.11</v>
      </c>
    </row>
    <row r="88" spans="1:37" ht="141.75" x14ac:dyDescent="0.25">
      <c r="A88" s="5">
        <v>82</v>
      </c>
      <c r="B88" s="81">
        <v>118193</v>
      </c>
      <c r="C88" s="118">
        <v>424</v>
      </c>
      <c r="D88" s="112" t="s">
        <v>727</v>
      </c>
      <c r="E88" s="7" t="s">
        <v>748</v>
      </c>
      <c r="F88" s="119" t="s">
        <v>653</v>
      </c>
      <c r="G88" s="177" t="s">
        <v>767</v>
      </c>
      <c r="H88" s="68" t="s">
        <v>768</v>
      </c>
      <c r="I88" s="13" t="s">
        <v>187</v>
      </c>
      <c r="J88" s="7" t="s">
        <v>840</v>
      </c>
      <c r="K88" s="104">
        <v>43285</v>
      </c>
      <c r="L88" s="8">
        <v>43773</v>
      </c>
      <c r="M88" s="4">
        <f t="shared" si="130"/>
        <v>85.000000000000014</v>
      </c>
      <c r="N88" s="112">
        <v>5</v>
      </c>
      <c r="O88" s="13" t="s">
        <v>769</v>
      </c>
      <c r="P88" s="13" t="s">
        <v>770</v>
      </c>
      <c r="Q88" s="13" t="s">
        <v>216</v>
      </c>
      <c r="R88" s="2" t="s">
        <v>36</v>
      </c>
      <c r="S88" s="25">
        <v>239111.8</v>
      </c>
      <c r="T88" s="74">
        <v>239111.8</v>
      </c>
      <c r="U88" s="33">
        <v>0</v>
      </c>
      <c r="V88" s="26">
        <v>36570.04</v>
      </c>
      <c r="W88" s="74">
        <v>36570.04</v>
      </c>
      <c r="X88" s="33"/>
      <c r="Y88" s="26">
        <v>5626.16</v>
      </c>
      <c r="Z88" s="39">
        <v>5626.16</v>
      </c>
      <c r="AA88" s="38">
        <v>0</v>
      </c>
      <c r="AB88" s="25">
        <f t="shared" si="128"/>
        <v>0</v>
      </c>
      <c r="AC88" s="33"/>
      <c r="AD88" s="33"/>
      <c r="AE88" s="25">
        <f t="shared" si="102"/>
        <v>281307.99999999994</v>
      </c>
      <c r="AF88" s="32"/>
      <c r="AG88" s="25">
        <f t="shared" si="129"/>
        <v>281307.99999999994</v>
      </c>
      <c r="AH88" s="28" t="s">
        <v>627</v>
      </c>
      <c r="AI88" s="32"/>
      <c r="AJ88" s="31">
        <f>28130+781.9</f>
        <v>28911.9</v>
      </c>
      <c r="AK88" s="31">
        <v>4421.82</v>
      </c>
    </row>
    <row r="89" spans="1:37" ht="252" x14ac:dyDescent="0.25">
      <c r="A89" s="2">
        <v>83</v>
      </c>
      <c r="B89" s="123">
        <v>117483</v>
      </c>
      <c r="C89" s="123">
        <v>412</v>
      </c>
      <c r="D89" s="123" t="s">
        <v>741</v>
      </c>
      <c r="E89" s="7" t="s">
        <v>748</v>
      </c>
      <c r="F89" s="119" t="s">
        <v>653</v>
      </c>
      <c r="G89" s="177" t="s">
        <v>915</v>
      </c>
      <c r="H89" s="178" t="s">
        <v>288</v>
      </c>
      <c r="I89" s="13" t="s">
        <v>187</v>
      </c>
      <c r="J89" s="7" t="s">
        <v>916</v>
      </c>
      <c r="K89" s="104">
        <v>43314</v>
      </c>
      <c r="L89" s="8">
        <v>43678</v>
      </c>
      <c r="M89" s="4">
        <f t="shared" si="130"/>
        <v>85.000000000000014</v>
      </c>
      <c r="N89" s="112">
        <v>5</v>
      </c>
      <c r="O89" s="13" t="s">
        <v>769</v>
      </c>
      <c r="P89" s="2" t="s">
        <v>292</v>
      </c>
      <c r="Q89" s="23" t="s">
        <v>216</v>
      </c>
      <c r="R89" s="2" t="s">
        <v>36</v>
      </c>
      <c r="S89" s="25">
        <v>242732.46</v>
      </c>
      <c r="T89" s="120">
        <f>S89</f>
        <v>242732.46</v>
      </c>
      <c r="U89" s="25">
        <v>0</v>
      </c>
      <c r="V89" s="25">
        <f t="shared" si="126"/>
        <v>37123.78</v>
      </c>
      <c r="W89" s="120">
        <v>37123.78</v>
      </c>
      <c r="X89" s="26">
        <v>0</v>
      </c>
      <c r="Y89" s="26">
        <f t="shared" si="131"/>
        <v>5711.36</v>
      </c>
      <c r="Z89" s="120">
        <v>5711.36</v>
      </c>
      <c r="AA89" s="26">
        <v>0</v>
      </c>
      <c r="AB89" s="25">
        <f t="shared" si="128"/>
        <v>0</v>
      </c>
      <c r="AC89" s="25"/>
      <c r="AD89" s="25"/>
      <c r="AE89" s="25">
        <f t="shared" si="102"/>
        <v>285567.59999999998</v>
      </c>
      <c r="AF89" s="25">
        <v>0</v>
      </c>
      <c r="AG89" s="25">
        <f t="shared" si="129"/>
        <v>285567.59999999998</v>
      </c>
      <c r="AH89" s="28" t="s">
        <v>627</v>
      </c>
      <c r="AI89" s="72" t="s">
        <v>187</v>
      </c>
      <c r="AJ89" s="31">
        <f>24768.62+25919.16+42164.52</f>
        <v>92852.299999999988</v>
      </c>
      <c r="AK89" s="31">
        <f>3788.14+2637.6+3407.69</f>
        <v>9833.43</v>
      </c>
    </row>
    <row r="90" spans="1:37" ht="141.75" x14ac:dyDescent="0.25">
      <c r="A90" s="5">
        <v>84</v>
      </c>
      <c r="B90" s="67">
        <v>126237</v>
      </c>
      <c r="C90" s="118">
        <v>529</v>
      </c>
      <c r="D90" s="2" t="s">
        <v>175</v>
      </c>
      <c r="E90" s="7" t="s">
        <v>1018</v>
      </c>
      <c r="F90" s="90" t="s">
        <v>1191</v>
      </c>
      <c r="G90" s="6" t="s">
        <v>1259</v>
      </c>
      <c r="H90" s="6" t="s">
        <v>1239</v>
      </c>
      <c r="I90" s="2" t="s">
        <v>187</v>
      </c>
      <c r="J90" s="3" t="s">
        <v>1260</v>
      </c>
      <c r="K90" s="104">
        <v>43446</v>
      </c>
      <c r="L90" s="8">
        <v>44177</v>
      </c>
      <c r="M90" s="4">
        <f t="shared" ref="M90" si="132">S90/AE90*100</f>
        <v>85.000000000000014</v>
      </c>
      <c r="N90" s="2">
        <v>5</v>
      </c>
      <c r="O90" s="2" t="s">
        <v>769</v>
      </c>
      <c r="P90" s="2" t="s">
        <v>994</v>
      </c>
      <c r="Q90" s="18" t="s">
        <v>216</v>
      </c>
      <c r="R90" s="2" t="s">
        <v>36</v>
      </c>
      <c r="S90" s="25">
        <f>T90+U90</f>
        <v>2072800.65</v>
      </c>
      <c r="T90" s="130">
        <v>2072800.65</v>
      </c>
      <c r="U90" s="25">
        <v>0</v>
      </c>
      <c r="V90" s="26">
        <f t="shared" ref="V90" si="133">W90+X90</f>
        <v>317016.56999999995</v>
      </c>
      <c r="W90" s="25">
        <v>317016.56999999995</v>
      </c>
      <c r="X90" s="25">
        <v>0</v>
      </c>
      <c r="Y90" s="25">
        <f t="shared" ref="Y90" si="134">Z90+AA90</f>
        <v>48771.78</v>
      </c>
      <c r="Z90" s="25">
        <v>48771.78</v>
      </c>
      <c r="AA90" s="25">
        <v>0</v>
      </c>
      <c r="AB90" s="25">
        <f t="shared" ref="AB90" si="135">AC90+AD90</f>
        <v>0</v>
      </c>
      <c r="AC90" s="25">
        <v>0</v>
      </c>
      <c r="AD90" s="25">
        <v>0</v>
      </c>
      <c r="AE90" s="25">
        <f t="shared" ref="AE90" si="136">S90+V90+Y90+AB90</f>
        <v>2438588.9999999995</v>
      </c>
      <c r="AF90" s="25">
        <v>0</v>
      </c>
      <c r="AG90" s="25">
        <f t="shared" ref="AG90" si="137">AE90+AF90</f>
        <v>2438588.9999999995</v>
      </c>
      <c r="AH90" s="28" t="s">
        <v>627</v>
      </c>
      <c r="AI90" s="72" t="s">
        <v>187</v>
      </c>
      <c r="AJ90" s="39">
        <v>0</v>
      </c>
      <c r="AK90" s="29">
        <v>0</v>
      </c>
    </row>
    <row r="91" spans="1:37" ht="173.25" x14ac:dyDescent="0.25">
      <c r="A91" s="5">
        <v>85</v>
      </c>
      <c r="B91" s="67">
        <v>120482</v>
      </c>
      <c r="C91" s="118">
        <v>68</v>
      </c>
      <c r="D91" s="2" t="s">
        <v>175</v>
      </c>
      <c r="E91" s="7" t="s">
        <v>1018</v>
      </c>
      <c r="F91" s="119" t="s">
        <v>366</v>
      </c>
      <c r="G91" s="6" t="s">
        <v>314</v>
      </c>
      <c r="H91" s="6" t="s">
        <v>317</v>
      </c>
      <c r="I91" s="2" t="s">
        <v>187</v>
      </c>
      <c r="J91" s="3" t="s">
        <v>320</v>
      </c>
      <c r="K91" s="104">
        <v>43145</v>
      </c>
      <c r="L91" s="8">
        <v>43630</v>
      </c>
      <c r="M91" s="4">
        <f t="shared" ref="M91" si="138">S91/AE91*100</f>
        <v>85</v>
      </c>
      <c r="N91" s="2">
        <v>3</v>
      </c>
      <c r="O91" s="2" t="s">
        <v>321</v>
      </c>
      <c r="P91" s="2" t="s">
        <v>322</v>
      </c>
      <c r="Q91" s="18" t="s">
        <v>216</v>
      </c>
      <c r="R91" s="2" t="s">
        <v>36</v>
      </c>
      <c r="S91" s="25">
        <f>T91+U91</f>
        <v>508342.5</v>
      </c>
      <c r="T91" s="130">
        <v>508342.5</v>
      </c>
      <c r="U91" s="25">
        <v>0</v>
      </c>
      <c r="V91" s="26">
        <f t="shared" si="126"/>
        <v>77746.5</v>
      </c>
      <c r="W91" s="25">
        <v>77746.5</v>
      </c>
      <c r="X91" s="25">
        <v>0</v>
      </c>
      <c r="Y91" s="25">
        <f t="shared" ref="Y91" si="139">Z91+AA91</f>
        <v>11961</v>
      </c>
      <c r="Z91" s="25">
        <v>11961</v>
      </c>
      <c r="AA91" s="25">
        <v>0</v>
      </c>
      <c r="AB91" s="25">
        <f t="shared" si="128"/>
        <v>0</v>
      </c>
      <c r="AC91" s="25"/>
      <c r="AD91" s="25"/>
      <c r="AE91" s="25">
        <f t="shared" si="102"/>
        <v>598050</v>
      </c>
      <c r="AF91" s="25">
        <v>0</v>
      </c>
      <c r="AG91" s="25">
        <f t="shared" si="129"/>
        <v>598050</v>
      </c>
      <c r="AH91" s="28" t="s">
        <v>627</v>
      </c>
      <c r="AI91" s="72"/>
      <c r="AJ91" s="39">
        <f>139474.65+11873.47+58460.39+21305.82</f>
        <v>231114.33000000002</v>
      </c>
      <c r="AK91" s="29">
        <f>21331.41+1815.94+8941+3258.54</f>
        <v>35346.89</v>
      </c>
    </row>
    <row r="92" spans="1:37" ht="346.5" x14ac:dyDescent="0.25">
      <c r="A92" s="2">
        <v>86</v>
      </c>
      <c r="B92" s="67">
        <v>122108</v>
      </c>
      <c r="C92" s="118">
        <v>83</v>
      </c>
      <c r="D92" s="2" t="s">
        <v>175</v>
      </c>
      <c r="E92" s="7" t="s">
        <v>1018</v>
      </c>
      <c r="F92" s="119" t="s">
        <v>366</v>
      </c>
      <c r="G92" s="6" t="s">
        <v>506</v>
      </c>
      <c r="H92" s="6" t="s">
        <v>507</v>
      </c>
      <c r="I92" s="2" t="s">
        <v>187</v>
      </c>
      <c r="J92" s="3" t="s">
        <v>559</v>
      </c>
      <c r="K92" s="104">
        <v>43234</v>
      </c>
      <c r="L92" s="8">
        <v>43722</v>
      </c>
      <c r="M92" s="4">
        <f t="shared" ref="M92:M94" si="140">S92/AE92*100</f>
        <v>85.000000383198511</v>
      </c>
      <c r="N92" s="2">
        <v>3</v>
      </c>
      <c r="O92" s="2" t="s">
        <v>321</v>
      </c>
      <c r="P92" s="2" t="s">
        <v>508</v>
      </c>
      <c r="Q92" s="18" t="s">
        <v>216</v>
      </c>
      <c r="R92" s="2" t="s">
        <v>36</v>
      </c>
      <c r="S92" s="25">
        <f>T92+U92</f>
        <v>332725.71000000002</v>
      </c>
      <c r="T92" s="120">
        <v>332725.71000000002</v>
      </c>
      <c r="U92" s="179">
        <v>0</v>
      </c>
      <c r="V92" s="26">
        <f t="shared" ref="V92" si="141">W92+X92</f>
        <v>50887.46</v>
      </c>
      <c r="W92" s="25">
        <v>50887.46</v>
      </c>
      <c r="X92" s="25">
        <v>0</v>
      </c>
      <c r="Y92" s="25">
        <f t="shared" ref="Y92" si="142">Z92+AA92</f>
        <v>7828.8400000000011</v>
      </c>
      <c r="Z92" s="25">
        <v>7828.8400000000011</v>
      </c>
      <c r="AA92" s="25">
        <v>0</v>
      </c>
      <c r="AB92" s="25">
        <f t="shared" ref="AB92" si="143">AC92+AD92</f>
        <v>0</v>
      </c>
      <c r="AC92" s="25"/>
      <c r="AD92" s="25"/>
      <c r="AE92" s="25">
        <f t="shared" ref="AE92" si="144">S92+V92+Y92+AB92</f>
        <v>391442.01000000007</v>
      </c>
      <c r="AF92" s="25">
        <v>73549.58</v>
      </c>
      <c r="AG92" s="25">
        <f t="shared" ref="AG92" si="145">AE92+AF92</f>
        <v>464991.59000000008</v>
      </c>
      <c r="AH92" s="28" t="s">
        <v>627</v>
      </c>
      <c r="AI92" s="72"/>
      <c r="AJ92" s="39">
        <f>33333.97+12894.42</f>
        <v>46228.39</v>
      </c>
      <c r="AK92" s="29">
        <f>5098.14+1972.08</f>
        <v>7070.22</v>
      </c>
    </row>
    <row r="93" spans="1:37" ht="204.75" x14ac:dyDescent="0.25">
      <c r="A93" s="5">
        <v>87</v>
      </c>
      <c r="B93" s="123">
        <v>118782</v>
      </c>
      <c r="C93" s="13">
        <v>444</v>
      </c>
      <c r="D93" s="13" t="s">
        <v>741</v>
      </c>
      <c r="E93" s="7" t="s">
        <v>748</v>
      </c>
      <c r="F93" s="119" t="s">
        <v>653</v>
      </c>
      <c r="G93" s="7" t="s">
        <v>878</v>
      </c>
      <c r="H93" s="7" t="s">
        <v>877</v>
      </c>
      <c r="I93" s="112"/>
      <c r="J93" s="75" t="s">
        <v>876</v>
      </c>
      <c r="K93" s="104">
        <v>43304</v>
      </c>
      <c r="L93" s="8">
        <v>43669</v>
      </c>
      <c r="M93" s="4">
        <f t="shared" si="140"/>
        <v>85</v>
      </c>
      <c r="N93" s="112">
        <v>3</v>
      </c>
      <c r="O93" s="2" t="s">
        <v>321</v>
      </c>
      <c r="P93" s="13" t="s">
        <v>879</v>
      </c>
      <c r="Q93" s="18" t="s">
        <v>216</v>
      </c>
      <c r="R93" s="2" t="s">
        <v>36</v>
      </c>
      <c r="S93" s="25">
        <v>242091.39</v>
      </c>
      <c r="T93" s="180">
        <f>S93</f>
        <v>242091.39</v>
      </c>
      <c r="U93" s="33">
        <v>0</v>
      </c>
      <c r="V93" s="26">
        <v>37025.74</v>
      </c>
      <c r="W93" s="39">
        <f>V93</f>
        <v>37025.74</v>
      </c>
      <c r="X93" s="33">
        <v>0</v>
      </c>
      <c r="Y93" s="39">
        <v>5696.27</v>
      </c>
      <c r="Z93" s="39">
        <f>Y93</f>
        <v>5696.27</v>
      </c>
      <c r="AA93" s="39">
        <v>0</v>
      </c>
      <c r="AB93" s="25">
        <f t="shared" si="128"/>
        <v>0</v>
      </c>
      <c r="AC93" s="33"/>
      <c r="AD93" s="33"/>
      <c r="AE93" s="25">
        <f>S93+V93+Y93+AB93</f>
        <v>284813.40000000002</v>
      </c>
      <c r="AF93" s="32"/>
      <c r="AG93" s="25">
        <f t="shared" si="129"/>
        <v>284813.40000000002</v>
      </c>
      <c r="AH93" s="28" t="s">
        <v>627</v>
      </c>
      <c r="AI93" s="32"/>
      <c r="AJ93" s="25">
        <f>28481.34-3066.97+23120.26</f>
        <v>48534.63</v>
      </c>
      <c r="AK93" s="25">
        <v>3066.97</v>
      </c>
    </row>
    <row r="94" spans="1:37" s="181" customFormat="1" ht="237.75" customHeight="1" x14ac:dyDescent="0.25">
      <c r="A94" s="5">
        <v>88</v>
      </c>
      <c r="B94" s="123">
        <v>118562</v>
      </c>
      <c r="C94" s="13">
        <v>430</v>
      </c>
      <c r="D94" s="13" t="s">
        <v>892</v>
      </c>
      <c r="E94" s="7" t="s">
        <v>748</v>
      </c>
      <c r="F94" s="119" t="s">
        <v>653</v>
      </c>
      <c r="G94" s="7" t="s">
        <v>938</v>
      </c>
      <c r="H94" s="13" t="s">
        <v>939</v>
      </c>
      <c r="I94" s="112" t="s">
        <v>187</v>
      </c>
      <c r="J94" s="75" t="s">
        <v>940</v>
      </c>
      <c r="K94" s="104">
        <v>43318</v>
      </c>
      <c r="L94" s="8">
        <v>43683</v>
      </c>
      <c r="M94" s="4">
        <f t="shared" si="140"/>
        <v>85</v>
      </c>
      <c r="N94" s="112">
        <v>3</v>
      </c>
      <c r="O94" s="2" t="s">
        <v>321</v>
      </c>
      <c r="P94" s="13" t="s">
        <v>322</v>
      </c>
      <c r="Q94" s="18" t="s">
        <v>216</v>
      </c>
      <c r="R94" s="2" t="s">
        <v>36</v>
      </c>
      <c r="S94" s="25">
        <f>T94+U94</f>
        <v>244199.22</v>
      </c>
      <c r="T94" s="180">
        <v>244199.22</v>
      </c>
      <c r="U94" s="33">
        <v>0</v>
      </c>
      <c r="V94" s="26">
        <f>W94+X94</f>
        <v>37348.11</v>
      </c>
      <c r="W94" s="39">
        <v>37348.11</v>
      </c>
      <c r="X94" s="33">
        <v>0</v>
      </c>
      <c r="Y94" s="39">
        <f>Z94+AA94</f>
        <v>5745.87</v>
      </c>
      <c r="Z94" s="39">
        <v>5745.87</v>
      </c>
      <c r="AA94" s="39">
        <v>0</v>
      </c>
      <c r="AB94" s="25">
        <f>AC94+AD94</f>
        <v>0</v>
      </c>
      <c r="AC94" s="33">
        <v>0</v>
      </c>
      <c r="AD94" s="33">
        <v>0</v>
      </c>
      <c r="AE94" s="25">
        <f>S94+V94+Y94+AB94</f>
        <v>287293.2</v>
      </c>
      <c r="AF94" s="32">
        <v>0</v>
      </c>
      <c r="AG94" s="25">
        <f t="shared" si="129"/>
        <v>287293.2</v>
      </c>
      <c r="AH94" s="28" t="s">
        <v>627</v>
      </c>
      <c r="AI94" s="32"/>
      <c r="AJ94" s="25">
        <f>28906.01+15593.07</f>
        <v>44499.08</v>
      </c>
      <c r="AK94" s="25">
        <f>4420.92+2384.82</f>
        <v>6805.74</v>
      </c>
    </row>
    <row r="95" spans="1:37" ht="270" customHeight="1" x14ac:dyDescent="0.25">
      <c r="A95" s="2">
        <v>89</v>
      </c>
      <c r="B95" s="13">
        <v>119895</v>
      </c>
      <c r="C95" s="13">
        <v>458</v>
      </c>
      <c r="D95" s="13" t="s">
        <v>643</v>
      </c>
      <c r="E95" s="13" t="s">
        <v>1093</v>
      </c>
      <c r="F95" s="116" t="s">
        <v>889</v>
      </c>
      <c r="G95" s="182" t="s">
        <v>899</v>
      </c>
      <c r="H95" s="182" t="s">
        <v>900</v>
      </c>
      <c r="I95" s="112" t="s">
        <v>187</v>
      </c>
      <c r="J95" s="7" t="s">
        <v>901</v>
      </c>
      <c r="K95" s="104">
        <v>43312</v>
      </c>
      <c r="L95" s="8">
        <v>43677</v>
      </c>
      <c r="M95" s="4">
        <f t="shared" ref="M95:M96" si="146">S95/AE95*100</f>
        <v>79.999998251321642</v>
      </c>
      <c r="N95" s="13">
        <v>8</v>
      </c>
      <c r="O95" s="2" t="s">
        <v>902</v>
      </c>
      <c r="P95" s="2" t="s">
        <v>903</v>
      </c>
      <c r="Q95" s="2" t="s">
        <v>216</v>
      </c>
      <c r="R95" s="2" t="s">
        <v>36</v>
      </c>
      <c r="S95" s="25">
        <f>T95+U95</f>
        <v>457488.35</v>
      </c>
      <c r="T95" s="183">
        <v>0</v>
      </c>
      <c r="U95" s="184">
        <v>457488.35</v>
      </c>
      <c r="V95" s="26">
        <f t="shared" si="126"/>
        <v>102934.89</v>
      </c>
      <c r="W95" s="184">
        <v>0</v>
      </c>
      <c r="X95" s="185">
        <v>102934.89</v>
      </c>
      <c r="Y95" s="25">
        <f>Z95+AA95</f>
        <v>11437.21</v>
      </c>
      <c r="Z95" s="184">
        <v>0</v>
      </c>
      <c r="AA95" s="186">
        <v>11437.21</v>
      </c>
      <c r="AB95" s="25">
        <f t="shared" si="128"/>
        <v>0</v>
      </c>
      <c r="AC95" s="184">
        <v>0</v>
      </c>
      <c r="AD95" s="186">
        <v>0</v>
      </c>
      <c r="AE95" s="25">
        <f>S95+V95+Y95+AB95</f>
        <v>571860.44999999995</v>
      </c>
      <c r="AF95" s="25">
        <v>0</v>
      </c>
      <c r="AG95" s="25">
        <f t="shared" si="129"/>
        <v>571860.44999999995</v>
      </c>
      <c r="AH95" s="28" t="s">
        <v>627</v>
      </c>
      <c r="AI95" s="32"/>
      <c r="AJ95" s="27">
        <v>0</v>
      </c>
      <c r="AK95" s="25">
        <v>0</v>
      </c>
    </row>
    <row r="96" spans="1:37" ht="142.5" customHeight="1" x14ac:dyDescent="0.25">
      <c r="A96" s="5">
        <v>90</v>
      </c>
      <c r="B96" s="123">
        <v>126391</v>
      </c>
      <c r="C96" s="13">
        <v>508</v>
      </c>
      <c r="D96" s="13" t="s">
        <v>689</v>
      </c>
      <c r="E96" s="13" t="s">
        <v>1018</v>
      </c>
      <c r="F96" s="90" t="s">
        <v>1198</v>
      </c>
      <c r="G96" s="7" t="s">
        <v>1262</v>
      </c>
      <c r="H96" s="182" t="s">
        <v>900</v>
      </c>
      <c r="I96" s="112" t="s">
        <v>187</v>
      </c>
      <c r="J96" s="7" t="s">
        <v>1263</v>
      </c>
      <c r="K96" s="104">
        <v>43452</v>
      </c>
      <c r="L96" s="8">
        <v>44365</v>
      </c>
      <c r="M96" s="4">
        <f t="shared" si="146"/>
        <v>80.000000098352359</v>
      </c>
      <c r="N96" s="13">
        <v>8</v>
      </c>
      <c r="O96" s="2" t="s">
        <v>902</v>
      </c>
      <c r="P96" s="2" t="s">
        <v>903</v>
      </c>
      <c r="Q96" s="2" t="s">
        <v>216</v>
      </c>
      <c r="R96" s="2" t="s">
        <v>36</v>
      </c>
      <c r="S96" s="25">
        <f t="shared" ref="S96" si="147">T96+U96</f>
        <v>1626803.97</v>
      </c>
      <c r="T96" s="187">
        <v>0</v>
      </c>
      <c r="U96" s="39">
        <v>1626803.97</v>
      </c>
      <c r="V96" s="26">
        <f t="shared" si="126"/>
        <v>366030.89</v>
      </c>
      <c r="W96" s="187">
        <v>0</v>
      </c>
      <c r="X96" s="29">
        <v>366030.89</v>
      </c>
      <c r="Y96" s="29">
        <f>Z96+AA96</f>
        <v>40670.1</v>
      </c>
      <c r="Z96" s="188">
        <v>0</v>
      </c>
      <c r="AA96" s="187">
        <v>40670.1</v>
      </c>
      <c r="AB96" s="25">
        <f t="shared" si="128"/>
        <v>0</v>
      </c>
      <c r="AC96" s="188">
        <v>0</v>
      </c>
      <c r="AD96" s="187">
        <v>0</v>
      </c>
      <c r="AE96" s="25">
        <f>S96+V96+Y96+AB96</f>
        <v>2033504.96</v>
      </c>
      <c r="AF96" s="93">
        <v>485522.74</v>
      </c>
      <c r="AG96" s="25">
        <f t="shared" si="129"/>
        <v>2519027.7000000002</v>
      </c>
      <c r="AH96" s="28" t="s">
        <v>627</v>
      </c>
      <c r="AI96" s="32"/>
      <c r="AJ96" s="25">
        <v>0</v>
      </c>
      <c r="AK96" s="25">
        <v>0</v>
      </c>
    </row>
    <row r="97" spans="1:37" ht="141.75" x14ac:dyDescent="0.25">
      <c r="A97" s="5">
        <v>91</v>
      </c>
      <c r="B97" s="67">
        <v>122738</v>
      </c>
      <c r="C97" s="118">
        <v>73</v>
      </c>
      <c r="D97" s="2" t="s">
        <v>178</v>
      </c>
      <c r="E97" s="7" t="s">
        <v>1018</v>
      </c>
      <c r="F97" s="119" t="s">
        <v>366</v>
      </c>
      <c r="G97" s="189" t="s">
        <v>750</v>
      </c>
      <c r="H97" s="7" t="s">
        <v>751</v>
      </c>
      <c r="I97" s="112" t="s">
        <v>187</v>
      </c>
      <c r="J97" s="7" t="s">
        <v>752</v>
      </c>
      <c r="K97" s="104">
        <v>43284</v>
      </c>
      <c r="L97" s="8">
        <v>43772</v>
      </c>
      <c r="M97" s="4">
        <f t="shared" ref="M97" si="148">S97/AE97*100</f>
        <v>85.000002334434541</v>
      </c>
      <c r="N97" s="2">
        <v>6</v>
      </c>
      <c r="O97" s="2" t="s">
        <v>753</v>
      </c>
      <c r="P97" s="2" t="s">
        <v>754</v>
      </c>
      <c r="Q97" s="18" t="s">
        <v>216</v>
      </c>
      <c r="R97" s="2" t="s">
        <v>36</v>
      </c>
      <c r="S97" s="26">
        <f t="shared" ref="S97" si="149">T97+U97</f>
        <v>527965.13</v>
      </c>
      <c r="T97" s="185">
        <v>527965.13</v>
      </c>
      <c r="U97" s="25">
        <v>0</v>
      </c>
      <c r="V97" s="26">
        <f t="shared" ref="V97" si="150">W97+X97</f>
        <v>80747.570000000007</v>
      </c>
      <c r="W97" s="185">
        <v>80747.570000000007</v>
      </c>
      <c r="X97" s="25">
        <v>0</v>
      </c>
      <c r="Y97" s="26">
        <f t="shared" ref="Y97" si="151">Z97+AA97</f>
        <v>12422.73</v>
      </c>
      <c r="Z97" s="190">
        <v>12422.73</v>
      </c>
      <c r="AA97" s="25">
        <v>0</v>
      </c>
      <c r="AB97" s="25">
        <f t="shared" ref="AB97" si="152">AC97+AD97</f>
        <v>0</v>
      </c>
      <c r="AC97" s="25"/>
      <c r="AD97" s="25"/>
      <c r="AE97" s="25">
        <f t="shared" ref="AE97" si="153">S97+V97+Y97+AB97</f>
        <v>621135.42999999993</v>
      </c>
      <c r="AF97" s="25">
        <v>0</v>
      </c>
      <c r="AG97" s="25">
        <f t="shared" ref="AG97" si="154">AE97+AF97</f>
        <v>621135.42999999993</v>
      </c>
      <c r="AH97" s="28" t="s">
        <v>627</v>
      </c>
      <c r="AI97" s="72"/>
      <c r="AJ97" s="27">
        <f>21406.41+58309.25</f>
        <v>79715.66</v>
      </c>
      <c r="AK97" s="25">
        <f>3273.92+8917.89</f>
        <v>12191.81</v>
      </c>
    </row>
    <row r="98" spans="1:37" ht="220.5" x14ac:dyDescent="0.25">
      <c r="A98" s="2">
        <v>92</v>
      </c>
      <c r="B98" s="67">
        <v>110238</v>
      </c>
      <c r="C98" s="118">
        <v>120</v>
      </c>
      <c r="D98" s="2" t="s">
        <v>178</v>
      </c>
      <c r="E98" s="7" t="s">
        <v>1018</v>
      </c>
      <c r="F98" s="119" t="s">
        <v>366</v>
      </c>
      <c r="G98" s="191" t="s">
        <v>326</v>
      </c>
      <c r="H98" s="6" t="s">
        <v>327</v>
      </c>
      <c r="I98" s="2" t="s">
        <v>187</v>
      </c>
      <c r="J98" s="11" t="s">
        <v>344</v>
      </c>
      <c r="K98" s="104">
        <v>43166</v>
      </c>
      <c r="L98" s="8">
        <v>43653</v>
      </c>
      <c r="M98" s="4">
        <f t="shared" ref="M98:M99" si="155">S98/AE98*100</f>
        <v>85.000000235397167</v>
      </c>
      <c r="N98" s="2">
        <v>4</v>
      </c>
      <c r="O98" s="2" t="s">
        <v>329</v>
      </c>
      <c r="P98" s="2" t="s">
        <v>328</v>
      </c>
      <c r="Q98" s="18" t="s">
        <v>216</v>
      </c>
      <c r="R98" s="2" t="s">
        <v>36</v>
      </c>
      <c r="S98" s="26">
        <f t="shared" ref="S98:S99" si="156">T98+U98</f>
        <v>361091.85</v>
      </c>
      <c r="T98" s="185">
        <v>361091.85</v>
      </c>
      <c r="U98" s="25">
        <v>0</v>
      </c>
      <c r="V98" s="26">
        <f t="shared" si="126"/>
        <v>55225.82</v>
      </c>
      <c r="W98" s="185">
        <v>55225.82</v>
      </c>
      <c r="X98" s="25">
        <v>0</v>
      </c>
      <c r="Y98" s="26">
        <f t="shared" ref="Y98" si="157">Z98+AA98</f>
        <v>8496.27</v>
      </c>
      <c r="Z98" s="190">
        <v>8496.27</v>
      </c>
      <c r="AA98" s="25">
        <v>0</v>
      </c>
      <c r="AB98" s="25">
        <f t="shared" si="128"/>
        <v>0</v>
      </c>
      <c r="AC98" s="25"/>
      <c r="AD98" s="25"/>
      <c r="AE98" s="25">
        <f t="shared" si="102"/>
        <v>424813.94</v>
      </c>
      <c r="AF98" s="25">
        <v>0</v>
      </c>
      <c r="AG98" s="25">
        <f t="shared" si="129"/>
        <v>424813.94</v>
      </c>
      <c r="AH98" s="28" t="s">
        <v>627</v>
      </c>
      <c r="AI98" s="72"/>
      <c r="AJ98" s="27">
        <v>36851.39</v>
      </c>
      <c r="AK98" s="25">
        <v>5630</v>
      </c>
    </row>
    <row r="99" spans="1:37" ht="204.75" x14ac:dyDescent="0.25">
      <c r="A99" s="5">
        <v>93</v>
      </c>
      <c r="B99" s="67">
        <v>117741</v>
      </c>
      <c r="C99" s="13">
        <v>415</v>
      </c>
      <c r="D99" s="2" t="s">
        <v>892</v>
      </c>
      <c r="E99" s="7" t="s">
        <v>748</v>
      </c>
      <c r="F99" s="6" t="s">
        <v>653</v>
      </c>
      <c r="G99" s="6" t="s">
        <v>893</v>
      </c>
      <c r="H99" s="6" t="s">
        <v>894</v>
      </c>
      <c r="I99" s="2" t="s">
        <v>792</v>
      </c>
      <c r="J99" s="6" t="s">
        <v>895</v>
      </c>
      <c r="K99" s="104">
        <v>43311</v>
      </c>
      <c r="L99" s="8">
        <v>43676</v>
      </c>
      <c r="M99" s="4">
        <f t="shared" si="155"/>
        <v>84.15024511492409</v>
      </c>
      <c r="N99" s="2">
        <v>4</v>
      </c>
      <c r="O99" s="2" t="s">
        <v>329</v>
      </c>
      <c r="P99" s="2" t="s">
        <v>328</v>
      </c>
      <c r="Q99" s="2" t="s">
        <v>216</v>
      </c>
      <c r="R99" s="2" t="s">
        <v>36</v>
      </c>
      <c r="S99" s="26">
        <f t="shared" si="156"/>
        <v>242958.31</v>
      </c>
      <c r="T99" s="29">
        <v>242958.31</v>
      </c>
      <c r="U99" s="124">
        <v>0</v>
      </c>
      <c r="V99" s="26">
        <f t="shared" si="126"/>
        <v>39986.97</v>
      </c>
      <c r="W99" s="29">
        <v>39986.97</v>
      </c>
      <c r="X99" s="124">
        <v>0</v>
      </c>
      <c r="Y99" s="29">
        <f>Z99+AA99</f>
        <v>2888.03</v>
      </c>
      <c r="Z99" s="29">
        <v>2888.03</v>
      </c>
      <c r="AA99" s="29">
        <v>0</v>
      </c>
      <c r="AB99" s="25">
        <f t="shared" si="128"/>
        <v>2886.36</v>
      </c>
      <c r="AC99" s="29">
        <v>2886.36</v>
      </c>
      <c r="AD99" s="124">
        <v>0</v>
      </c>
      <c r="AE99" s="25">
        <f t="shared" si="102"/>
        <v>288719.67000000004</v>
      </c>
      <c r="AF99" s="30"/>
      <c r="AG99" s="25">
        <f t="shared" si="129"/>
        <v>288719.67000000004</v>
      </c>
      <c r="AH99" s="28" t="s">
        <v>627</v>
      </c>
      <c r="AI99" s="30"/>
      <c r="AJ99" s="25">
        <f>28871.96-265.54</f>
        <v>28606.42</v>
      </c>
      <c r="AK99" s="25">
        <v>4137.4399999999996</v>
      </c>
    </row>
    <row r="100" spans="1:37" s="132" customFormat="1" ht="189" x14ac:dyDescent="0.25">
      <c r="A100" s="5">
        <v>94</v>
      </c>
      <c r="B100" s="67">
        <v>120531</v>
      </c>
      <c r="C100" s="118">
        <v>76</v>
      </c>
      <c r="D100" s="7" t="s">
        <v>178</v>
      </c>
      <c r="E100" s="7" t="s">
        <v>1018</v>
      </c>
      <c r="F100" s="119" t="s">
        <v>366</v>
      </c>
      <c r="G100" s="129" t="s">
        <v>265</v>
      </c>
      <c r="H100" s="129" t="s">
        <v>266</v>
      </c>
      <c r="I100" s="13" t="s">
        <v>187</v>
      </c>
      <c r="J100" s="7" t="s">
        <v>267</v>
      </c>
      <c r="K100" s="104">
        <v>43129</v>
      </c>
      <c r="L100" s="8">
        <v>43614</v>
      </c>
      <c r="M100" s="4">
        <f t="shared" ref="M100:M103" si="158">S100/AE100*100</f>
        <v>85.000000405063261</v>
      </c>
      <c r="N100" s="13">
        <v>3</v>
      </c>
      <c r="O100" s="13" t="s">
        <v>269</v>
      </c>
      <c r="P100" s="13" t="s">
        <v>268</v>
      </c>
      <c r="Q100" s="23" t="s">
        <v>216</v>
      </c>
      <c r="R100" s="13" t="s">
        <v>36</v>
      </c>
      <c r="S100" s="25">
        <f t="shared" ref="S100:S103" si="159">T100+U100</f>
        <v>524609.42000000004</v>
      </c>
      <c r="T100" s="130">
        <v>524609.42000000004</v>
      </c>
      <c r="U100" s="27">
        <v>0</v>
      </c>
      <c r="V100" s="26">
        <f t="shared" si="126"/>
        <v>80234.38</v>
      </c>
      <c r="W100" s="130">
        <v>80234.38</v>
      </c>
      <c r="X100" s="27">
        <v>0</v>
      </c>
      <c r="Y100" s="25">
        <f t="shared" ref="Y100:Y103" si="160">Z100+AA100</f>
        <v>12343.75</v>
      </c>
      <c r="Z100" s="130">
        <v>12343.75</v>
      </c>
      <c r="AA100" s="27">
        <v>0</v>
      </c>
      <c r="AB100" s="25">
        <f t="shared" si="128"/>
        <v>0</v>
      </c>
      <c r="AC100" s="27"/>
      <c r="AD100" s="27"/>
      <c r="AE100" s="25">
        <f t="shared" si="102"/>
        <v>617187.55000000005</v>
      </c>
      <c r="AF100" s="27">
        <v>0</v>
      </c>
      <c r="AG100" s="25">
        <f t="shared" si="129"/>
        <v>617187.55000000005</v>
      </c>
      <c r="AH100" s="28" t="s">
        <v>627</v>
      </c>
      <c r="AI100" s="37" t="s">
        <v>187</v>
      </c>
      <c r="AJ100" s="39">
        <f>40294.21+38633.5</f>
        <v>78927.709999999992</v>
      </c>
      <c r="AK100" s="39">
        <f>6162.64+5908.66</f>
        <v>12071.3</v>
      </c>
    </row>
    <row r="101" spans="1:37" s="194" customFormat="1" ht="157.5" x14ac:dyDescent="0.25">
      <c r="A101" s="2">
        <v>95</v>
      </c>
      <c r="B101" s="123">
        <v>119702</v>
      </c>
      <c r="C101" s="118">
        <v>462</v>
      </c>
      <c r="D101" s="7" t="s">
        <v>175</v>
      </c>
      <c r="E101" s="13" t="s">
        <v>1093</v>
      </c>
      <c r="F101" s="192" t="s">
        <v>584</v>
      </c>
      <c r="G101" s="173" t="s">
        <v>646</v>
      </c>
      <c r="H101" s="173" t="s">
        <v>266</v>
      </c>
      <c r="I101" s="13" t="s">
        <v>187</v>
      </c>
      <c r="J101" s="7" t="s">
        <v>648</v>
      </c>
      <c r="K101" s="104">
        <v>43269</v>
      </c>
      <c r="L101" s="8">
        <v>43756</v>
      </c>
      <c r="M101" s="16">
        <f t="shared" si="158"/>
        <v>85.000000000000014</v>
      </c>
      <c r="N101" s="13">
        <v>3</v>
      </c>
      <c r="O101" s="13" t="s">
        <v>269</v>
      </c>
      <c r="P101" s="13" t="s">
        <v>268</v>
      </c>
      <c r="Q101" s="193" t="s">
        <v>216</v>
      </c>
      <c r="R101" s="13" t="s">
        <v>588</v>
      </c>
      <c r="S101" s="27">
        <f t="shared" si="159"/>
        <v>289363.96999999997</v>
      </c>
      <c r="T101" s="39">
        <v>289363.96999999997</v>
      </c>
      <c r="U101" s="27">
        <v>0</v>
      </c>
      <c r="V101" s="26">
        <f t="shared" ref="V101" si="161">W101+X101</f>
        <v>44255.67</v>
      </c>
      <c r="W101" s="39">
        <v>44255.67</v>
      </c>
      <c r="X101" s="27">
        <v>0</v>
      </c>
      <c r="Y101" s="27">
        <f t="shared" si="160"/>
        <v>6808.5599999999995</v>
      </c>
      <c r="Z101" s="39">
        <v>6808.5599999999995</v>
      </c>
      <c r="AA101" s="27">
        <v>0</v>
      </c>
      <c r="AB101" s="27">
        <f t="shared" ref="AB101" si="162">AC101+AD101</f>
        <v>0</v>
      </c>
      <c r="AC101" s="27">
        <v>0</v>
      </c>
      <c r="AD101" s="27">
        <v>0</v>
      </c>
      <c r="AE101" s="27">
        <f>S101+V101+Y101+AB101</f>
        <v>340428.19999999995</v>
      </c>
      <c r="AF101" s="27">
        <v>0</v>
      </c>
      <c r="AG101" s="27">
        <f t="shared" ref="AG101" si="163">AE101+AF101</f>
        <v>340428.19999999995</v>
      </c>
      <c r="AH101" s="28" t="s">
        <v>627</v>
      </c>
      <c r="AI101" s="65"/>
      <c r="AJ101" s="39">
        <f>29938.25-3891.97</f>
        <v>26046.28</v>
      </c>
      <c r="AK101" s="39">
        <v>3891.97</v>
      </c>
    </row>
    <row r="102" spans="1:37" s="196" customFormat="1" ht="283.5" x14ac:dyDescent="0.25">
      <c r="A102" s="5">
        <v>96</v>
      </c>
      <c r="B102" s="123">
        <v>117960</v>
      </c>
      <c r="C102" s="13">
        <v>418</v>
      </c>
      <c r="D102" s="13" t="s">
        <v>892</v>
      </c>
      <c r="E102" s="7" t="s">
        <v>748</v>
      </c>
      <c r="F102" s="7" t="s">
        <v>653</v>
      </c>
      <c r="G102" s="7" t="s">
        <v>942</v>
      </c>
      <c r="H102" s="173" t="s">
        <v>266</v>
      </c>
      <c r="I102" s="13" t="s">
        <v>187</v>
      </c>
      <c r="J102" s="7" t="s">
        <v>943</v>
      </c>
      <c r="K102" s="8">
        <v>43318</v>
      </c>
      <c r="L102" s="8">
        <v>43805</v>
      </c>
      <c r="M102" s="16">
        <f t="shared" si="158"/>
        <v>85</v>
      </c>
      <c r="N102" s="13">
        <v>3</v>
      </c>
      <c r="O102" s="13" t="s">
        <v>269</v>
      </c>
      <c r="P102" s="13" t="s">
        <v>268</v>
      </c>
      <c r="Q102" s="13" t="s">
        <v>216</v>
      </c>
      <c r="R102" s="13" t="s">
        <v>588</v>
      </c>
      <c r="S102" s="27">
        <f t="shared" si="159"/>
        <v>339865.02</v>
      </c>
      <c r="T102" s="39">
        <v>339865.02</v>
      </c>
      <c r="U102" s="195">
        <v>0</v>
      </c>
      <c r="V102" s="26">
        <f t="shared" si="126"/>
        <v>51979.35</v>
      </c>
      <c r="W102" s="39">
        <v>51979.35</v>
      </c>
      <c r="X102" s="195">
        <v>0</v>
      </c>
      <c r="Y102" s="27">
        <f t="shared" si="160"/>
        <v>7996.83</v>
      </c>
      <c r="Z102" s="39">
        <v>7996.83</v>
      </c>
      <c r="AA102" s="39">
        <v>0</v>
      </c>
      <c r="AB102" s="27">
        <f t="shared" si="128"/>
        <v>0</v>
      </c>
      <c r="AC102" s="195">
        <v>0</v>
      </c>
      <c r="AD102" s="195">
        <v>0</v>
      </c>
      <c r="AE102" s="27">
        <f t="shared" si="102"/>
        <v>399841.2</v>
      </c>
      <c r="AF102" s="39">
        <v>0</v>
      </c>
      <c r="AG102" s="27">
        <f t="shared" si="129"/>
        <v>399841.2</v>
      </c>
      <c r="AH102" s="28" t="s">
        <v>627</v>
      </c>
      <c r="AI102" s="28"/>
      <c r="AJ102" s="39">
        <v>16106.21</v>
      </c>
      <c r="AK102" s="39">
        <v>2463.3000000000002</v>
      </c>
    </row>
    <row r="103" spans="1:37" s="196" customFormat="1" ht="141.75" x14ac:dyDescent="0.25">
      <c r="A103" s="5">
        <v>97</v>
      </c>
      <c r="B103" s="123">
        <v>126286</v>
      </c>
      <c r="C103" s="13">
        <v>513</v>
      </c>
      <c r="D103" s="13" t="s">
        <v>177</v>
      </c>
      <c r="E103" s="7" t="s">
        <v>1018</v>
      </c>
      <c r="F103" s="7" t="s">
        <v>1191</v>
      </c>
      <c r="G103" s="7" t="s">
        <v>1264</v>
      </c>
      <c r="H103" s="173" t="s">
        <v>1265</v>
      </c>
      <c r="I103" s="13" t="s">
        <v>187</v>
      </c>
      <c r="J103" s="7" t="s">
        <v>1266</v>
      </c>
      <c r="K103" s="8">
        <v>43451</v>
      </c>
      <c r="L103" s="8">
        <v>44182</v>
      </c>
      <c r="M103" s="16">
        <f t="shared" si="158"/>
        <v>85.000000627550136</v>
      </c>
      <c r="N103" s="13">
        <v>3</v>
      </c>
      <c r="O103" s="13" t="s">
        <v>269</v>
      </c>
      <c r="P103" s="13" t="s">
        <v>1267</v>
      </c>
      <c r="Q103" s="13" t="s">
        <v>216</v>
      </c>
      <c r="R103" s="13" t="s">
        <v>588</v>
      </c>
      <c r="S103" s="27">
        <f t="shared" si="159"/>
        <v>2370328.59</v>
      </c>
      <c r="T103" s="39">
        <v>2370328.59</v>
      </c>
      <c r="U103" s="195">
        <v>0</v>
      </c>
      <c r="V103" s="26">
        <f t="shared" ref="V103" si="164">W103+X103</f>
        <v>362520.82</v>
      </c>
      <c r="W103" s="39">
        <v>362520.82</v>
      </c>
      <c r="X103" s="195">
        <v>0</v>
      </c>
      <c r="Y103" s="27">
        <f t="shared" si="160"/>
        <v>55772.44</v>
      </c>
      <c r="Z103" s="39">
        <v>55772.44</v>
      </c>
      <c r="AA103" s="39">
        <v>0</v>
      </c>
      <c r="AB103" s="27">
        <f t="shared" ref="AB103" si="165">AC103+AD103</f>
        <v>0</v>
      </c>
      <c r="AC103" s="195">
        <v>0</v>
      </c>
      <c r="AD103" s="195">
        <v>0</v>
      </c>
      <c r="AE103" s="27">
        <f t="shared" ref="AE103" si="166">S103+V103+Y103+AB103</f>
        <v>2788621.8499999996</v>
      </c>
      <c r="AF103" s="39">
        <v>0</v>
      </c>
      <c r="AG103" s="27">
        <f t="shared" ref="AG103" si="167">AE103+AF103</f>
        <v>2788621.8499999996</v>
      </c>
      <c r="AH103" s="28" t="s">
        <v>627</v>
      </c>
      <c r="AI103" s="28"/>
      <c r="AJ103" s="39">
        <v>0</v>
      </c>
      <c r="AK103" s="39">
        <v>0</v>
      </c>
    </row>
    <row r="104" spans="1:37" ht="126" customHeight="1" x14ac:dyDescent="0.25">
      <c r="A104" s="2">
        <v>98</v>
      </c>
      <c r="B104" s="67">
        <v>119208</v>
      </c>
      <c r="C104" s="118">
        <v>489</v>
      </c>
      <c r="D104" s="2" t="s">
        <v>168</v>
      </c>
      <c r="E104" s="7" t="s">
        <v>1093</v>
      </c>
      <c r="F104" s="119" t="s">
        <v>584</v>
      </c>
      <c r="G104" s="2" t="s">
        <v>1161</v>
      </c>
      <c r="H104" s="2" t="s">
        <v>1162</v>
      </c>
      <c r="I104" s="2" t="s">
        <v>459</v>
      </c>
      <c r="J104" s="11" t="s">
        <v>1163</v>
      </c>
      <c r="K104" s="8">
        <v>43396</v>
      </c>
      <c r="L104" s="8">
        <v>43884</v>
      </c>
      <c r="M104" s="16">
        <v>85</v>
      </c>
      <c r="N104" s="2">
        <v>1</v>
      </c>
      <c r="O104" s="2" t="s">
        <v>1160</v>
      </c>
      <c r="P104" s="2" t="s">
        <v>1164</v>
      </c>
      <c r="Q104" s="23" t="s">
        <v>216</v>
      </c>
      <c r="R104" s="2" t="s">
        <v>36</v>
      </c>
      <c r="S104" s="27">
        <f>T104+U104</f>
        <v>529360.44999999995</v>
      </c>
      <c r="T104" s="25">
        <v>529360.44999999995</v>
      </c>
      <c r="U104" s="25">
        <v>0</v>
      </c>
      <c r="V104" s="26">
        <f>W104+X104</f>
        <v>80961.009999999995</v>
      </c>
      <c r="W104" s="25">
        <v>80961.009999999995</v>
      </c>
      <c r="X104" s="25">
        <v>0</v>
      </c>
      <c r="Y104" s="26">
        <f>Z104+AA104</f>
        <v>12455.54</v>
      </c>
      <c r="Z104" s="25">
        <v>12455.54</v>
      </c>
      <c r="AA104" s="25">
        <v>0</v>
      </c>
      <c r="AB104" s="25">
        <f>AC104+AD104</f>
        <v>0</v>
      </c>
      <c r="AC104" s="25">
        <v>0</v>
      </c>
      <c r="AD104" s="25">
        <v>0</v>
      </c>
      <c r="AE104" s="27">
        <f>S104+V104+Y104+AB104</f>
        <v>622777</v>
      </c>
      <c r="AF104" s="25"/>
      <c r="AG104" s="25">
        <f>AE104+AF104</f>
        <v>622777</v>
      </c>
      <c r="AH104" s="28" t="s">
        <v>920</v>
      </c>
      <c r="AI104" s="72"/>
      <c r="AJ104" s="39">
        <v>0</v>
      </c>
      <c r="AK104" s="29">
        <v>0</v>
      </c>
    </row>
    <row r="105" spans="1:37" ht="157.5" x14ac:dyDescent="0.25">
      <c r="A105" s="5">
        <v>99</v>
      </c>
      <c r="B105" s="67">
        <v>122867</v>
      </c>
      <c r="C105" s="144">
        <v>105</v>
      </c>
      <c r="D105" s="67" t="s">
        <v>174</v>
      </c>
      <c r="E105" s="7" t="s">
        <v>1018</v>
      </c>
      <c r="F105" s="119" t="s">
        <v>366</v>
      </c>
      <c r="G105" s="121" t="s">
        <v>1031</v>
      </c>
      <c r="H105" s="20" t="s">
        <v>1030</v>
      </c>
      <c r="I105" s="13" t="s">
        <v>1032</v>
      </c>
      <c r="J105" s="122" t="s">
        <v>1033</v>
      </c>
      <c r="K105" s="104">
        <v>43342</v>
      </c>
      <c r="L105" s="8">
        <v>43707</v>
      </c>
      <c r="M105" s="4">
        <f>S105/AE105*100</f>
        <v>84.194914940710191</v>
      </c>
      <c r="N105" s="2">
        <v>1</v>
      </c>
      <c r="O105" s="2" t="s">
        <v>1034</v>
      </c>
      <c r="P105" s="2" t="s">
        <v>1035</v>
      </c>
      <c r="Q105" s="23" t="s">
        <v>216</v>
      </c>
      <c r="R105" s="2" t="s">
        <v>36</v>
      </c>
      <c r="S105" s="25">
        <f>T105+U105</f>
        <v>351606.78</v>
      </c>
      <c r="T105" s="25">
        <v>351606.78</v>
      </c>
      <c r="U105" s="25">
        <v>0</v>
      </c>
      <c r="V105" s="25">
        <f>W105+X105</f>
        <v>57651.47</v>
      </c>
      <c r="W105" s="25">
        <v>57651.47</v>
      </c>
      <c r="X105" s="25">
        <v>0</v>
      </c>
      <c r="Y105" s="25">
        <f>Z105+AA105</f>
        <v>8352.2199999999993</v>
      </c>
      <c r="Z105" s="25">
        <v>8352.2199999999993</v>
      </c>
      <c r="AA105" s="25">
        <v>0</v>
      </c>
      <c r="AB105" s="25">
        <f>AC105+AD105</f>
        <v>0</v>
      </c>
      <c r="AC105" s="25"/>
      <c r="AD105" s="25"/>
      <c r="AE105" s="25">
        <f>S105+V105+Y105+AB105</f>
        <v>417610.47</v>
      </c>
      <c r="AF105" s="25"/>
      <c r="AG105" s="25">
        <f>AE105+AF105</f>
        <v>417610.47</v>
      </c>
      <c r="AH105" s="28" t="s">
        <v>627</v>
      </c>
      <c r="AI105" s="72" t="s">
        <v>385</v>
      </c>
      <c r="AJ105" s="29">
        <f>41760.02+3682.21+18068.95</f>
        <v>63511.179999999993</v>
      </c>
      <c r="AK105" s="29">
        <f>6030.95+4165.9</f>
        <v>10196.849999999999</v>
      </c>
    </row>
    <row r="106" spans="1:37" ht="173.25" x14ac:dyDescent="0.25">
      <c r="A106" s="5">
        <v>100</v>
      </c>
      <c r="B106" s="67">
        <v>126260</v>
      </c>
      <c r="C106" s="118">
        <v>526</v>
      </c>
      <c r="D106" s="2" t="s">
        <v>178</v>
      </c>
      <c r="E106" s="7" t="s">
        <v>1018</v>
      </c>
      <c r="F106" s="119" t="s">
        <v>1191</v>
      </c>
      <c r="G106" s="6" t="s">
        <v>1203</v>
      </c>
      <c r="H106" s="6" t="s">
        <v>1202</v>
      </c>
      <c r="I106" s="2" t="s">
        <v>187</v>
      </c>
      <c r="J106" s="11" t="s">
        <v>1204</v>
      </c>
      <c r="K106" s="104">
        <v>43433</v>
      </c>
      <c r="L106" s="8">
        <v>44164</v>
      </c>
      <c r="M106" s="16">
        <f t="shared" ref="M106" si="168">S106/AE106*100</f>
        <v>84.999999887651384</v>
      </c>
      <c r="N106" s="2">
        <v>1</v>
      </c>
      <c r="O106" s="2" t="s">
        <v>1034</v>
      </c>
      <c r="P106" s="2" t="s">
        <v>1035</v>
      </c>
      <c r="Q106" s="23" t="s">
        <v>216</v>
      </c>
      <c r="R106" s="2" t="s">
        <v>36</v>
      </c>
      <c r="S106" s="27">
        <f t="shared" ref="S106" si="169">T106+U106</f>
        <v>2269720.81</v>
      </c>
      <c r="T106" s="25">
        <v>2269720.81</v>
      </c>
      <c r="U106" s="25">
        <v>0</v>
      </c>
      <c r="V106" s="26">
        <f t="shared" ref="V106" si="170">W106+X106</f>
        <v>347133.77</v>
      </c>
      <c r="W106" s="25">
        <v>347133.77</v>
      </c>
      <c r="X106" s="25">
        <v>0</v>
      </c>
      <c r="Y106" s="26">
        <f t="shared" ref="Y106" si="171">Z106+AA106</f>
        <v>53405.2</v>
      </c>
      <c r="Z106" s="25">
        <v>53405.2</v>
      </c>
      <c r="AA106" s="25">
        <v>0</v>
      </c>
      <c r="AB106" s="25">
        <f t="shared" ref="AB106" si="172">AC106+AD106</f>
        <v>0</v>
      </c>
      <c r="AC106" s="25">
        <v>0</v>
      </c>
      <c r="AD106" s="25">
        <v>0</v>
      </c>
      <c r="AE106" s="27">
        <f t="shared" ref="AE106" si="173">S106+V106+Y106+AB106</f>
        <v>2670259.7800000003</v>
      </c>
      <c r="AF106" s="25">
        <v>57120</v>
      </c>
      <c r="AG106" s="25">
        <f t="shared" ref="AG106" si="174">AE106+AF106</f>
        <v>2727379.7800000003</v>
      </c>
      <c r="AH106" s="28" t="s">
        <v>627</v>
      </c>
      <c r="AI106" s="72"/>
      <c r="AJ106" s="39">
        <v>0</v>
      </c>
      <c r="AK106" s="29">
        <v>0</v>
      </c>
    </row>
    <row r="107" spans="1:37" ht="315" x14ac:dyDescent="0.25">
      <c r="A107" s="2">
        <v>101</v>
      </c>
      <c r="B107" s="67">
        <v>120572</v>
      </c>
      <c r="C107" s="118">
        <v>82</v>
      </c>
      <c r="D107" s="2" t="s">
        <v>175</v>
      </c>
      <c r="E107" s="7" t="s">
        <v>1018</v>
      </c>
      <c r="F107" s="119" t="s">
        <v>366</v>
      </c>
      <c r="G107" s="6" t="s">
        <v>353</v>
      </c>
      <c r="H107" s="6" t="s">
        <v>354</v>
      </c>
      <c r="I107" s="2" t="s">
        <v>187</v>
      </c>
      <c r="J107" s="11" t="s">
        <v>794</v>
      </c>
      <c r="K107" s="104">
        <v>43171</v>
      </c>
      <c r="L107" s="8">
        <v>43658</v>
      </c>
      <c r="M107" s="4">
        <f t="shared" ref="M107:M109" si="175">S107/AE107*100</f>
        <v>85.000000359311386</v>
      </c>
      <c r="N107" s="2">
        <v>4</v>
      </c>
      <c r="O107" s="2" t="s">
        <v>355</v>
      </c>
      <c r="P107" s="2" t="s">
        <v>356</v>
      </c>
      <c r="Q107" s="23" t="s">
        <v>216</v>
      </c>
      <c r="R107" s="2" t="s">
        <v>36</v>
      </c>
      <c r="S107" s="26">
        <f t="shared" ref="S107:S109" si="176">T107+U107</f>
        <v>354845.43</v>
      </c>
      <c r="T107" s="25">
        <v>354845.43</v>
      </c>
      <c r="U107" s="25">
        <v>0</v>
      </c>
      <c r="V107" s="26">
        <f t="shared" si="126"/>
        <v>54270.48</v>
      </c>
      <c r="W107" s="25">
        <v>54270.48</v>
      </c>
      <c r="X107" s="25">
        <v>0</v>
      </c>
      <c r="Y107" s="26">
        <f t="shared" ref="Y107:Y109" si="177">Z107+AA107</f>
        <v>8349.2999999999993</v>
      </c>
      <c r="Z107" s="25">
        <v>8349.2999999999993</v>
      </c>
      <c r="AA107" s="25">
        <v>0</v>
      </c>
      <c r="AB107" s="25">
        <f t="shared" si="128"/>
        <v>0</v>
      </c>
      <c r="AC107" s="25"/>
      <c r="AD107" s="25"/>
      <c r="AE107" s="25">
        <f t="shared" si="102"/>
        <v>417465.20999999996</v>
      </c>
      <c r="AF107" s="25">
        <v>0</v>
      </c>
      <c r="AG107" s="25">
        <f t="shared" si="129"/>
        <v>417465.20999999996</v>
      </c>
      <c r="AH107" s="28" t="s">
        <v>627</v>
      </c>
      <c r="AI107" s="72" t="s">
        <v>187</v>
      </c>
      <c r="AJ107" s="39">
        <f>14375+7002.3+6416.65+7759.57</f>
        <v>35553.519999999997</v>
      </c>
      <c r="AK107" s="29">
        <f>2198.53+1070.94+981.37+1186.75</f>
        <v>5437.59</v>
      </c>
    </row>
    <row r="108" spans="1:37" ht="157.5" x14ac:dyDescent="0.25">
      <c r="A108" s="5">
        <v>102</v>
      </c>
      <c r="B108" s="67">
        <v>118183</v>
      </c>
      <c r="C108" s="13">
        <v>422</v>
      </c>
      <c r="D108" s="2" t="s">
        <v>741</v>
      </c>
      <c r="E108" s="7" t="s">
        <v>748</v>
      </c>
      <c r="F108" s="119" t="s">
        <v>653</v>
      </c>
      <c r="G108" s="6" t="s">
        <v>793</v>
      </c>
      <c r="H108" s="6" t="s">
        <v>354</v>
      </c>
      <c r="I108" s="2" t="s">
        <v>792</v>
      </c>
      <c r="J108" s="7" t="s">
        <v>795</v>
      </c>
      <c r="K108" s="104">
        <v>43290</v>
      </c>
      <c r="L108" s="8">
        <v>43655</v>
      </c>
      <c r="M108" s="4">
        <f t="shared" si="175"/>
        <v>84.151395586791139</v>
      </c>
      <c r="N108" s="2">
        <v>4</v>
      </c>
      <c r="O108" s="2" t="s">
        <v>355</v>
      </c>
      <c r="P108" s="2" t="s">
        <v>356</v>
      </c>
      <c r="Q108" s="23" t="s">
        <v>216</v>
      </c>
      <c r="R108" s="13" t="s">
        <v>796</v>
      </c>
      <c r="S108" s="26">
        <f t="shared" si="176"/>
        <v>245240.99</v>
      </c>
      <c r="T108" s="25">
        <v>245240.99</v>
      </c>
      <c r="U108" s="25">
        <v>0</v>
      </c>
      <c r="V108" s="26">
        <f t="shared" si="126"/>
        <v>40358.75</v>
      </c>
      <c r="W108" s="39">
        <v>40358.75</v>
      </c>
      <c r="X108" s="25">
        <v>0</v>
      </c>
      <c r="Y108" s="26">
        <f t="shared" si="177"/>
        <v>5828.57</v>
      </c>
      <c r="Z108" s="39">
        <v>5828.57</v>
      </c>
      <c r="AA108" s="25">
        <v>0</v>
      </c>
      <c r="AB108" s="25">
        <f t="shared" si="128"/>
        <v>0</v>
      </c>
      <c r="AC108" s="33"/>
      <c r="AD108" s="33"/>
      <c r="AE108" s="25">
        <f t="shared" si="102"/>
        <v>291428.31</v>
      </c>
      <c r="AF108" s="25">
        <v>0</v>
      </c>
      <c r="AG108" s="25">
        <f t="shared" si="129"/>
        <v>291428.31</v>
      </c>
      <c r="AH108" s="28" t="s">
        <v>627</v>
      </c>
      <c r="AI108" s="72" t="s">
        <v>187</v>
      </c>
      <c r="AJ108" s="25">
        <v>31913.97</v>
      </c>
      <c r="AK108" s="25">
        <v>5112.75</v>
      </c>
    </row>
    <row r="109" spans="1:37" ht="141.75" x14ac:dyDescent="0.25">
      <c r="A109" s="5">
        <v>103</v>
      </c>
      <c r="B109" s="67">
        <v>126174</v>
      </c>
      <c r="C109" s="13">
        <v>534</v>
      </c>
      <c r="D109" s="13" t="s">
        <v>175</v>
      </c>
      <c r="E109" s="7" t="s">
        <v>748</v>
      </c>
      <c r="F109" s="13" t="s">
        <v>1191</v>
      </c>
      <c r="G109" s="6" t="s">
        <v>1254</v>
      </c>
      <c r="H109" s="6" t="s">
        <v>1255</v>
      </c>
      <c r="I109" s="2" t="s">
        <v>187</v>
      </c>
      <c r="J109" s="11" t="s">
        <v>1256</v>
      </c>
      <c r="K109" s="104">
        <v>43447</v>
      </c>
      <c r="L109" s="8">
        <v>43995</v>
      </c>
      <c r="M109" s="4">
        <f t="shared" si="175"/>
        <v>85.000000333995757</v>
      </c>
      <c r="N109" s="2">
        <v>4</v>
      </c>
      <c r="O109" s="2" t="s">
        <v>355</v>
      </c>
      <c r="P109" s="2" t="s">
        <v>356</v>
      </c>
      <c r="Q109" s="23" t="s">
        <v>216</v>
      </c>
      <c r="R109" s="2" t="s">
        <v>36</v>
      </c>
      <c r="S109" s="26">
        <f t="shared" si="176"/>
        <v>2544942.5099999998</v>
      </c>
      <c r="T109" s="25">
        <v>2544942.5099999998</v>
      </c>
      <c r="U109" s="25">
        <v>0</v>
      </c>
      <c r="V109" s="26">
        <f t="shared" si="126"/>
        <v>389226.49</v>
      </c>
      <c r="W109" s="39">
        <v>389226.49</v>
      </c>
      <c r="X109" s="25">
        <v>0</v>
      </c>
      <c r="Y109" s="26">
        <f t="shared" si="177"/>
        <v>59881</v>
      </c>
      <c r="Z109" s="39">
        <v>59881</v>
      </c>
      <c r="AA109" s="25">
        <v>0</v>
      </c>
      <c r="AB109" s="25">
        <f t="shared" si="128"/>
        <v>0</v>
      </c>
      <c r="AC109" s="27">
        <v>0</v>
      </c>
      <c r="AD109" s="27">
        <v>0</v>
      </c>
      <c r="AE109" s="25">
        <f t="shared" si="102"/>
        <v>2994050</v>
      </c>
      <c r="AF109" s="25">
        <v>0</v>
      </c>
      <c r="AG109" s="25">
        <f t="shared" si="129"/>
        <v>2994050</v>
      </c>
      <c r="AH109" s="28" t="s">
        <v>627</v>
      </c>
      <c r="AI109" s="32"/>
      <c r="AJ109" s="25">
        <v>0</v>
      </c>
      <c r="AK109" s="25">
        <v>0</v>
      </c>
    </row>
    <row r="110" spans="1:37" ht="189" x14ac:dyDescent="0.25">
      <c r="A110" s="2">
        <v>104</v>
      </c>
      <c r="B110" s="67">
        <v>120801</v>
      </c>
      <c r="C110" s="118">
        <v>87</v>
      </c>
      <c r="D110" s="2" t="s">
        <v>174</v>
      </c>
      <c r="E110" s="7" t="s">
        <v>1018</v>
      </c>
      <c r="F110" s="119" t="s">
        <v>366</v>
      </c>
      <c r="G110" s="6" t="s">
        <v>333</v>
      </c>
      <c r="H110" s="6" t="s">
        <v>334</v>
      </c>
      <c r="I110" s="2" t="s">
        <v>335</v>
      </c>
      <c r="J110" s="11" t="s">
        <v>336</v>
      </c>
      <c r="K110" s="104">
        <v>43166</v>
      </c>
      <c r="L110" s="8">
        <v>43653</v>
      </c>
      <c r="M110" s="4">
        <f t="shared" ref="M110:M114" si="178">S110/AE110*100</f>
        <v>84.168038598864953</v>
      </c>
      <c r="N110" s="2">
        <v>3</v>
      </c>
      <c r="O110" s="2" t="s">
        <v>337</v>
      </c>
      <c r="P110" s="2" t="s">
        <v>338</v>
      </c>
      <c r="Q110" s="18" t="s">
        <v>216</v>
      </c>
      <c r="R110" s="2" t="s">
        <v>36</v>
      </c>
      <c r="S110" s="26">
        <f t="shared" ref="S110:S112" si="179">T110+U110</f>
        <v>357481.33</v>
      </c>
      <c r="T110" s="25">
        <v>357481.33</v>
      </c>
      <c r="U110" s="25">
        <v>0</v>
      </c>
      <c r="V110" s="26">
        <f t="shared" si="126"/>
        <v>58747.57</v>
      </c>
      <c r="W110" s="25">
        <v>58747.57</v>
      </c>
      <c r="X110" s="25">
        <v>0</v>
      </c>
      <c r="Y110" s="26">
        <f t="shared" ref="Y110:Y112" si="180">Z110+AA110</f>
        <v>8494.4699999999993</v>
      </c>
      <c r="Z110" s="25">
        <v>8494.4699999999993</v>
      </c>
      <c r="AA110" s="25">
        <v>0</v>
      </c>
      <c r="AB110" s="25">
        <f t="shared" si="128"/>
        <v>0</v>
      </c>
      <c r="AC110" s="25"/>
      <c r="AD110" s="25"/>
      <c r="AE110" s="25">
        <f t="shared" si="102"/>
        <v>424723.37</v>
      </c>
      <c r="AF110" s="25">
        <v>0</v>
      </c>
      <c r="AG110" s="25" t="s">
        <v>592</v>
      </c>
      <c r="AH110" s="28" t="s">
        <v>627</v>
      </c>
      <c r="AI110" s="72" t="s">
        <v>187</v>
      </c>
      <c r="AJ110" s="39">
        <f>70082.64+38337.49-1246.56</f>
        <v>107173.57</v>
      </c>
      <c r="AK110" s="29">
        <f>4618.03+6264.08+1246.56</f>
        <v>12128.67</v>
      </c>
    </row>
    <row r="111" spans="1:37" ht="236.25" x14ac:dyDescent="0.25">
      <c r="A111" s="5">
        <v>105</v>
      </c>
      <c r="B111" s="67">
        <v>119511</v>
      </c>
      <c r="C111" s="13">
        <v>464</v>
      </c>
      <c r="D111" s="2" t="s">
        <v>173</v>
      </c>
      <c r="E111" s="13" t="s">
        <v>1093</v>
      </c>
      <c r="F111" s="2" t="s">
        <v>584</v>
      </c>
      <c r="G111" s="6" t="s">
        <v>585</v>
      </c>
      <c r="H111" s="6" t="s">
        <v>586</v>
      </c>
      <c r="I111" s="2" t="s">
        <v>385</v>
      </c>
      <c r="J111" s="6" t="s">
        <v>587</v>
      </c>
      <c r="K111" s="104">
        <v>43257</v>
      </c>
      <c r="L111" s="8">
        <v>43744</v>
      </c>
      <c r="M111" s="4">
        <f t="shared" si="178"/>
        <v>85</v>
      </c>
      <c r="N111" s="112">
        <v>3</v>
      </c>
      <c r="O111" s="112" t="s">
        <v>466</v>
      </c>
      <c r="P111" s="112" t="s">
        <v>338</v>
      </c>
      <c r="Q111" s="112" t="s">
        <v>216</v>
      </c>
      <c r="R111" s="112" t="s">
        <v>588</v>
      </c>
      <c r="S111" s="26">
        <f t="shared" si="179"/>
        <v>501075</v>
      </c>
      <c r="T111" s="25">
        <v>501075</v>
      </c>
      <c r="U111" s="25">
        <v>0</v>
      </c>
      <c r="V111" s="26">
        <f t="shared" si="126"/>
        <v>76635</v>
      </c>
      <c r="W111" s="25">
        <v>76635</v>
      </c>
      <c r="X111" s="25">
        <v>0</v>
      </c>
      <c r="Y111" s="26">
        <f t="shared" si="180"/>
        <v>11790</v>
      </c>
      <c r="Z111" s="29">
        <v>11790</v>
      </c>
      <c r="AA111" s="29">
        <v>0</v>
      </c>
      <c r="AB111" s="25">
        <f t="shared" si="128"/>
        <v>0</v>
      </c>
      <c r="AC111" s="27">
        <v>0</v>
      </c>
      <c r="AD111" s="27">
        <v>0</v>
      </c>
      <c r="AE111" s="25">
        <f>S111+V111+Y111+AB111</f>
        <v>589500</v>
      </c>
      <c r="AF111" s="30">
        <v>0</v>
      </c>
      <c r="AG111" s="25">
        <f t="shared" si="129"/>
        <v>589500</v>
      </c>
      <c r="AH111" s="28" t="s">
        <v>627</v>
      </c>
      <c r="AI111" s="32"/>
      <c r="AJ111" s="77">
        <f>57677.81+46119.33</f>
        <v>103797.14</v>
      </c>
      <c r="AK111" s="29">
        <f>8821.31+7053.55</f>
        <v>15874.86</v>
      </c>
    </row>
    <row r="112" spans="1:37" s="198" customFormat="1" ht="220.5" x14ac:dyDescent="0.25">
      <c r="A112" s="5">
        <v>106</v>
      </c>
      <c r="B112" s="123">
        <v>118799</v>
      </c>
      <c r="C112" s="13">
        <v>447</v>
      </c>
      <c r="D112" s="13" t="s">
        <v>892</v>
      </c>
      <c r="E112" s="7" t="s">
        <v>748</v>
      </c>
      <c r="F112" s="7" t="s">
        <v>653</v>
      </c>
      <c r="G112" s="7" t="s">
        <v>1188</v>
      </c>
      <c r="H112" s="6" t="s">
        <v>334</v>
      </c>
      <c r="I112" s="13" t="s">
        <v>1189</v>
      </c>
      <c r="J112" s="7" t="s">
        <v>1190</v>
      </c>
      <c r="K112" s="8">
        <v>43425</v>
      </c>
      <c r="L112" s="8">
        <v>43911</v>
      </c>
      <c r="M112" s="16">
        <f t="shared" si="178"/>
        <v>84.156465769886722</v>
      </c>
      <c r="N112" s="2">
        <v>3</v>
      </c>
      <c r="O112" s="2" t="s">
        <v>337</v>
      </c>
      <c r="P112" s="2" t="s">
        <v>338</v>
      </c>
      <c r="Q112" s="18" t="s">
        <v>216</v>
      </c>
      <c r="R112" s="2" t="s">
        <v>36</v>
      </c>
      <c r="S112" s="26">
        <f t="shared" si="179"/>
        <v>242273.69</v>
      </c>
      <c r="T112" s="27">
        <v>242273.69</v>
      </c>
      <c r="U112" s="27">
        <v>0</v>
      </c>
      <c r="V112" s="26">
        <f t="shared" si="126"/>
        <v>39853.42</v>
      </c>
      <c r="W112" s="27">
        <v>39853.42</v>
      </c>
      <c r="X112" s="27">
        <v>0</v>
      </c>
      <c r="Y112" s="26">
        <f t="shared" si="180"/>
        <v>2900.77</v>
      </c>
      <c r="Z112" s="39">
        <v>2900.77</v>
      </c>
      <c r="AA112" s="39">
        <v>0</v>
      </c>
      <c r="AB112" s="27">
        <f t="shared" si="128"/>
        <v>2856.94</v>
      </c>
      <c r="AC112" s="197">
        <v>2856.94</v>
      </c>
      <c r="AD112" s="197">
        <v>0</v>
      </c>
      <c r="AE112" s="27">
        <f t="shared" ref="AE112" si="181">S112+V112+Y112+AB112</f>
        <v>287884.82</v>
      </c>
      <c r="AF112" s="28">
        <v>0</v>
      </c>
      <c r="AG112" s="27">
        <f>AE112+AF112</f>
        <v>287884.82</v>
      </c>
      <c r="AH112" s="28" t="s">
        <v>627</v>
      </c>
      <c r="AI112" s="28"/>
      <c r="AJ112" s="77">
        <v>0</v>
      </c>
      <c r="AK112" s="29">
        <v>0</v>
      </c>
    </row>
    <row r="113" spans="1:37" ht="157.5" x14ac:dyDescent="0.25">
      <c r="A113" s="2">
        <v>107</v>
      </c>
      <c r="B113" s="67">
        <v>118062</v>
      </c>
      <c r="C113" s="118">
        <v>421</v>
      </c>
      <c r="D113" s="112" t="s">
        <v>172</v>
      </c>
      <c r="E113" s="7" t="s">
        <v>748</v>
      </c>
      <c r="F113" s="119" t="s">
        <v>653</v>
      </c>
      <c r="G113" s="50" t="s">
        <v>1180</v>
      </c>
      <c r="H113" s="199" t="s">
        <v>1181</v>
      </c>
      <c r="I113" s="112" t="s">
        <v>990</v>
      </c>
      <c r="J113" s="6" t="s">
        <v>1183</v>
      </c>
      <c r="K113" s="104">
        <v>43412</v>
      </c>
      <c r="L113" s="8">
        <v>43807</v>
      </c>
      <c r="M113" s="112">
        <f t="shared" si="178"/>
        <v>85.000007860659679</v>
      </c>
      <c r="N113" s="112">
        <v>6</v>
      </c>
      <c r="O113" s="112" t="s">
        <v>467</v>
      </c>
      <c r="P113" s="112" t="s">
        <v>386</v>
      </c>
      <c r="Q113" s="98" t="s">
        <v>216</v>
      </c>
      <c r="R113" s="85" t="s">
        <v>36</v>
      </c>
      <c r="S113" s="26">
        <f>T113+U113</f>
        <v>308180.27</v>
      </c>
      <c r="T113" s="33">
        <v>308180.27</v>
      </c>
      <c r="U113" s="33">
        <v>0</v>
      </c>
      <c r="V113" s="26">
        <f t="shared" si="126"/>
        <v>47133.4</v>
      </c>
      <c r="W113" s="33">
        <v>47133.4</v>
      </c>
      <c r="X113" s="33">
        <v>0</v>
      </c>
      <c r="Y113" s="38">
        <f>Z113+AA113</f>
        <v>7251.32</v>
      </c>
      <c r="Z113" s="38">
        <v>7251.32</v>
      </c>
      <c r="AA113" s="38">
        <v>0</v>
      </c>
      <c r="AB113" s="25">
        <f t="shared" si="128"/>
        <v>0</v>
      </c>
      <c r="AC113" s="200">
        <v>0</v>
      </c>
      <c r="AD113" s="200">
        <v>0</v>
      </c>
      <c r="AE113" s="25">
        <f t="shared" ref="AE113:AE148" si="182">S113+V113+Y113+AB113</f>
        <v>362564.99000000005</v>
      </c>
      <c r="AF113" s="200">
        <v>0</v>
      </c>
      <c r="AG113" s="25">
        <f t="shared" si="129"/>
        <v>362564.99000000005</v>
      </c>
      <c r="AH113" s="28" t="s">
        <v>920</v>
      </c>
      <c r="AI113" s="32" t="s">
        <v>990</v>
      </c>
      <c r="AJ113" s="97">
        <v>0</v>
      </c>
      <c r="AK113" s="38">
        <v>0</v>
      </c>
    </row>
    <row r="114" spans="1:37" ht="141.75" x14ac:dyDescent="0.25">
      <c r="A114" s="5">
        <v>108</v>
      </c>
      <c r="B114" s="67">
        <v>119377</v>
      </c>
      <c r="C114" s="118">
        <v>463</v>
      </c>
      <c r="D114" s="112" t="s">
        <v>172</v>
      </c>
      <c r="E114" s="13" t="s">
        <v>1093</v>
      </c>
      <c r="F114" s="2" t="s">
        <v>584</v>
      </c>
      <c r="G114" s="50" t="s">
        <v>995</v>
      </c>
      <c r="H114" s="201" t="s">
        <v>992</v>
      </c>
      <c r="I114" s="112" t="s">
        <v>990</v>
      </c>
      <c r="J114" s="6" t="s">
        <v>993</v>
      </c>
      <c r="K114" s="104">
        <v>43332</v>
      </c>
      <c r="L114" s="8">
        <v>43819</v>
      </c>
      <c r="M114" s="112">
        <f t="shared" si="178"/>
        <v>85.000001900439869</v>
      </c>
      <c r="N114" s="2">
        <v>6</v>
      </c>
      <c r="O114" s="112" t="s">
        <v>468</v>
      </c>
      <c r="P114" s="112" t="s">
        <v>994</v>
      </c>
      <c r="Q114" s="112" t="s">
        <v>216</v>
      </c>
      <c r="R114" s="85" t="s">
        <v>36</v>
      </c>
      <c r="S114" s="26">
        <f t="shared" ref="S114" si="183">T114+U114</f>
        <v>313085.42</v>
      </c>
      <c r="T114" s="25">
        <v>313085.42</v>
      </c>
      <c r="U114" s="25">
        <v>0</v>
      </c>
      <c r="V114" s="26">
        <f t="shared" si="126"/>
        <v>47883.64</v>
      </c>
      <c r="W114" s="25">
        <v>47883.64</v>
      </c>
      <c r="X114" s="25">
        <v>0</v>
      </c>
      <c r="Y114" s="29">
        <f>Z114+AA114</f>
        <v>7366.72</v>
      </c>
      <c r="Z114" s="29">
        <v>7366.72</v>
      </c>
      <c r="AA114" s="29">
        <v>0</v>
      </c>
      <c r="AB114" s="25">
        <f t="shared" si="128"/>
        <v>0</v>
      </c>
      <c r="AC114" s="93">
        <v>0</v>
      </c>
      <c r="AD114" s="93">
        <v>0</v>
      </c>
      <c r="AE114" s="25">
        <f t="shared" si="182"/>
        <v>368335.77999999997</v>
      </c>
      <c r="AF114" s="38">
        <v>4938.5</v>
      </c>
      <c r="AG114" s="25">
        <f t="shared" si="129"/>
        <v>373274.27999999997</v>
      </c>
      <c r="AH114" s="28" t="s">
        <v>920</v>
      </c>
      <c r="AI114" s="32" t="s">
        <v>187</v>
      </c>
      <c r="AJ114" s="29">
        <v>21878.75</v>
      </c>
      <c r="AK114" s="29">
        <v>3346.16</v>
      </c>
    </row>
    <row r="115" spans="1:37" ht="157.5" x14ac:dyDescent="0.25">
      <c r="A115" s="5">
        <v>109</v>
      </c>
      <c r="B115" s="67">
        <v>126124</v>
      </c>
      <c r="C115" s="118">
        <v>532</v>
      </c>
      <c r="D115" s="112" t="s">
        <v>175</v>
      </c>
      <c r="E115" s="13" t="s">
        <v>748</v>
      </c>
      <c r="F115" s="2" t="s">
        <v>1191</v>
      </c>
      <c r="G115" s="50" t="s">
        <v>1275</v>
      </c>
      <c r="H115" s="201" t="s">
        <v>992</v>
      </c>
      <c r="I115" s="112" t="s">
        <v>990</v>
      </c>
      <c r="J115" s="6" t="s">
        <v>1276</v>
      </c>
      <c r="K115" s="104">
        <v>43462</v>
      </c>
      <c r="L115" s="8">
        <v>44375</v>
      </c>
      <c r="M115" s="112">
        <f t="shared" ref="M115" si="184">S115/AE115*100</f>
        <v>84.999999694403598</v>
      </c>
      <c r="N115" s="2">
        <v>6</v>
      </c>
      <c r="O115" s="112" t="s">
        <v>468</v>
      </c>
      <c r="P115" s="112" t="s">
        <v>994</v>
      </c>
      <c r="Q115" s="112" t="s">
        <v>216</v>
      </c>
      <c r="R115" s="85" t="s">
        <v>36</v>
      </c>
      <c r="S115" s="26">
        <f t="shared" ref="S115" si="185">T115+U115</f>
        <v>2086084.74</v>
      </c>
      <c r="T115" s="25">
        <v>2086084.74</v>
      </c>
      <c r="U115" s="25">
        <v>0</v>
      </c>
      <c r="V115" s="26">
        <f t="shared" ref="V115" si="186">W115+X115</f>
        <v>319048.28000000003</v>
      </c>
      <c r="W115" s="25">
        <v>319048.28000000003</v>
      </c>
      <c r="X115" s="25">
        <v>0</v>
      </c>
      <c r="Y115" s="29">
        <f>Z115+AA115</f>
        <v>49084.33</v>
      </c>
      <c r="Z115" s="29">
        <v>49084.33</v>
      </c>
      <c r="AA115" s="29">
        <v>0</v>
      </c>
      <c r="AB115" s="25">
        <f t="shared" ref="AB115" si="187">AC115+AD115</f>
        <v>0</v>
      </c>
      <c r="AC115" s="93">
        <v>0</v>
      </c>
      <c r="AD115" s="93">
        <v>0</v>
      </c>
      <c r="AE115" s="25">
        <f t="shared" ref="AE115" si="188">S115+V115+Y115+AB115</f>
        <v>2454217.35</v>
      </c>
      <c r="AF115" s="38">
        <v>0</v>
      </c>
      <c r="AG115" s="25">
        <f t="shared" ref="AG115" si="189">AE115+AF115</f>
        <v>2454217.35</v>
      </c>
      <c r="AH115" s="28" t="s">
        <v>920</v>
      </c>
      <c r="AI115" s="32" t="s">
        <v>187</v>
      </c>
      <c r="AJ115" s="29">
        <v>0</v>
      </c>
      <c r="AK115" s="29">
        <v>0</v>
      </c>
    </row>
    <row r="116" spans="1:37" ht="268.5" customHeight="1" x14ac:dyDescent="0.25">
      <c r="A116" s="2">
        <v>110</v>
      </c>
      <c r="B116" s="2">
        <v>118759</v>
      </c>
      <c r="C116" s="118">
        <v>439</v>
      </c>
      <c r="D116" s="112" t="s">
        <v>643</v>
      </c>
      <c r="E116" s="7" t="s">
        <v>748</v>
      </c>
      <c r="F116" s="7" t="s">
        <v>653</v>
      </c>
      <c r="G116" s="50" t="s">
        <v>853</v>
      </c>
      <c r="H116" s="6" t="s">
        <v>854</v>
      </c>
      <c r="I116" s="2" t="s">
        <v>855</v>
      </c>
      <c r="J116" s="6" t="s">
        <v>856</v>
      </c>
      <c r="K116" s="104">
        <v>43304</v>
      </c>
      <c r="L116" s="8">
        <v>43792</v>
      </c>
      <c r="M116" s="4">
        <f t="shared" ref="M116" si="190">S116/AE116*100</f>
        <v>84.213980856539493</v>
      </c>
      <c r="N116" s="50">
        <v>7</v>
      </c>
      <c r="O116" s="50" t="s">
        <v>857</v>
      </c>
      <c r="P116" s="50" t="s">
        <v>857</v>
      </c>
      <c r="Q116" s="50" t="s">
        <v>216</v>
      </c>
      <c r="R116" s="50" t="s">
        <v>36</v>
      </c>
      <c r="S116" s="26">
        <v>288260.65000000002</v>
      </c>
      <c r="T116" s="202">
        <v>288260.65000000002</v>
      </c>
      <c r="U116" s="163" t="s">
        <v>860</v>
      </c>
      <c r="V116" s="26">
        <v>47188.93</v>
      </c>
      <c r="W116" s="163">
        <v>47188.93</v>
      </c>
      <c r="X116" s="163" t="s">
        <v>860</v>
      </c>
      <c r="Y116" s="26">
        <v>6845.9</v>
      </c>
      <c r="Z116" s="163">
        <v>6845.9</v>
      </c>
      <c r="AA116" s="163" t="s">
        <v>860</v>
      </c>
      <c r="AB116" s="25">
        <f t="shared" ref="AB116:AB144" si="191">AC116+AD116</f>
        <v>0</v>
      </c>
      <c r="AC116" s="93"/>
      <c r="AD116" s="93"/>
      <c r="AE116" s="25">
        <f>S116+V116+Y116+AB116</f>
        <v>342295.48000000004</v>
      </c>
      <c r="AF116" s="32"/>
      <c r="AG116" s="25">
        <f t="shared" si="129"/>
        <v>342295.48000000004</v>
      </c>
      <c r="AH116" s="28" t="s">
        <v>627</v>
      </c>
      <c r="AI116" s="72" t="s">
        <v>187</v>
      </c>
      <c r="AJ116" s="29">
        <f>34229.54+12542.88</f>
        <v>46772.42</v>
      </c>
      <c r="AK116" s="29">
        <v>2950.38</v>
      </c>
    </row>
    <row r="117" spans="1:37" ht="315" x14ac:dyDescent="0.25">
      <c r="A117" s="5">
        <v>111</v>
      </c>
      <c r="B117" s="81">
        <v>119841</v>
      </c>
      <c r="C117" s="118">
        <v>477</v>
      </c>
      <c r="D117" s="112" t="s">
        <v>178</v>
      </c>
      <c r="E117" s="13" t="s">
        <v>1093</v>
      </c>
      <c r="F117" s="7" t="s">
        <v>584</v>
      </c>
      <c r="G117" s="7" t="s">
        <v>874</v>
      </c>
      <c r="H117" s="6" t="s">
        <v>854</v>
      </c>
      <c r="I117" s="2" t="s">
        <v>855</v>
      </c>
      <c r="J117" s="7" t="s">
        <v>875</v>
      </c>
      <c r="K117" s="104">
        <v>43304</v>
      </c>
      <c r="L117" s="8">
        <v>43792</v>
      </c>
      <c r="M117" s="4">
        <f>S117/AE117*100</f>
        <v>84.227561665534452</v>
      </c>
      <c r="N117" s="50">
        <v>7</v>
      </c>
      <c r="O117" s="50" t="s">
        <v>857</v>
      </c>
      <c r="P117" s="50" t="s">
        <v>857</v>
      </c>
      <c r="Q117" s="50" t="s">
        <v>216</v>
      </c>
      <c r="R117" s="2" t="s">
        <v>36</v>
      </c>
      <c r="S117" s="26">
        <f t="shared" ref="S117" si="192">T117+U117</f>
        <v>486941.45</v>
      </c>
      <c r="T117" s="39">
        <v>486941.45</v>
      </c>
      <c r="U117" s="130">
        <v>0</v>
      </c>
      <c r="V117" s="26">
        <f t="shared" ref="V117:V133" si="193">W117+X117</f>
        <v>79622</v>
      </c>
      <c r="W117" s="30">
        <v>79622</v>
      </c>
      <c r="X117" s="130">
        <v>0</v>
      </c>
      <c r="Y117" s="26">
        <v>11562.57</v>
      </c>
      <c r="Z117" s="29">
        <v>11562.57</v>
      </c>
      <c r="AA117" s="130">
        <v>0</v>
      </c>
      <c r="AB117" s="25">
        <f t="shared" si="191"/>
        <v>0</v>
      </c>
      <c r="AC117" s="93">
        <v>0</v>
      </c>
      <c r="AD117" s="93">
        <v>0</v>
      </c>
      <c r="AE117" s="25">
        <f t="shared" si="182"/>
        <v>578126.0199999999</v>
      </c>
      <c r="AF117" s="32"/>
      <c r="AG117" s="25">
        <f t="shared" ref="AG117:AG160" si="194">AE117+AF117</f>
        <v>578126.0199999999</v>
      </c>
      <c r="AH117" s="28" t="s">
        <v>627</v>
      </c>
      <c r="AI117" s="72" t="s">
        <v>187</v>
      </c>
      <c r="AJ117" s="39">
        <f>55280.09+14628.07</f>
        <v>69908.160000000003</v>
      </c>
      <c r="AK117" s="29">
        <f>2532.51+2255.31</f>
        <v>4787.82</v>
      </c>
    </row>
    <row r="118" spans="1:37" ht="120" x14ac:dyDescent="0.25">
      <c r="A118" s="5">
        <v>112</v>
      </c>
      <c r="B118" s="67">
        <v>117764</v>
      </c>
      <c r="C118" s="13">
        <v>416</v>
      </c>
      <c r="D118" s="2" t="s">
        <v>727</v>
      </c>
      <c r="E118" s="7" t="s">
        <v>748</v>
      </c>
      <c r="F118" s="6" t="s">
        <v>653</v>
      </c>
      <c r="G118" s="6" t="s">
        <v>968</v>
      </c>
      <c r="H118" s="2" t="s">
        <v>969</v>
      </c>
      <c r="I118" s="2" t="s">
        <v>187</v>
      </c>
      <c r="J118" s="2"/>
      <c r="K118" s="104">
        <v>43326</v>
      </c>
      <c r="L118" s="8">
        <v>43813</v>
      </c>
      <c r="M118" s="2">
        <f t="shared" ref="M118" si="195">S118/AE118*100</f>
        <v>85.000000298812211</v>
      </c>
      <c r="N118" s="2"/>
      <c r="O118" s="2"/>
      <c r="P118" s="2" t="s">
        <v>531</v>
      </c>
      <c r="Q118" s="2" t="s">
        <v>216</v>
      </c>
      <c r="R118" s="85" t="s">
        <v>36</v>
      </c>
      <c r="S118" s="26">
        <f t="shared" ref="S118" si="196">T118+U118</f>
        <v>284459.59000000003</v>
      </c>
      <c r="T118" s="29">
        <v>284459.59000000003</v>
      </c>
      <c r="U118" s="130">
        <v>0</v>
      </c>
      <c r="V118" s="26">
        <f t="shared" si="193"/>
        <v>43505.58</v>
      </c>
      <c r="W118" s="29">
        <v>43505.58</v>
      </c>
      <c r="X118" s="130">
        <v>0</v>
      </c>
      <c r="Y118" s="29">
        <f>Z118+AA118</f>
        <v>6693.17</v>
      </c>
      <c r="Z118" s="29">
        <v>6693.17</v>
      </c>
      <c r="AA118" s="130">
        <v>0</v>
      </c>
      <c r="AB118" s="25">
        <f t="shared" si="191"/>
        <v>0</v>
      </c>
      <c r="AC118" s="124">
        <v>0</v>
      </c>
      <c r="AD118" s="124">
        <v>0</v>
      </c>
      <c r="AE118" s="25">
        <f t="shared" si="182"/>
        <v>334658.34000000003</v>
      </c>
      <c r="AF118" s="30">
        <v>0</v>
      </c>
      <c r="AG118" s="25">
        <f t="shared" si="194"/>
        <v>334658.34000000003</v>
      </c>
      <c r="AH118" s="28" t="s">
        <v>627</v>
      </c>
      <c r="AI118" s="30" t="s">
        <v>187</v>
      </c>
      <c r="AJ118" s="25">
        <f>33465.83-3352.6</f>
        <v>30113.230000000003</v>
      </c>
      <c r="AK118" s="25">
        <v>3352.6</v>
      </c>
    </row>
    <row r="119" spans="1:37" ht="157.5" x14ac:dyDescent="0.25">
      <c r="A119" s="2">
        <v>113</v>
      </c>
      <c r="B119" s="67">
        <v>110909</v>
      </c>
      <c r="C119" s="118">
        <v>115</v>
      </c>
      <c r="D119" s="2" t="s">
        <v>178</v>
      </c>
      <c r="E119" s="7" t="s">
        <v>1018</v>
      </c>
      <c r="F119" s="135" t="s">
        <v>366</v>
      </c>
      <c r="G119" s="203" t="s">
        <v>452</v>
      </c>
      <c r="H119" s="20" t="s">
        <v>451</v>
      </c>
      <c r="I119" s="13" t="s">
        <v>187</v>
      </c>
      <c r="J119" s="11" t="s">
        <v>453</v>
      </c>
      <c r="K119" s="104">
        <v>43214</v>
      </c>
      <c r="L119" s="8">
        <v>43701</v>
      </c>
      <c r="M119" s="4">
        <f t="shared" ref="M119:M120" si="197">S119/AE119*100</f>
        <v>85.000000000000014</v>
      </c>
      <c r="N119" s="2">
        <v>3</v>
      </c>
      <c r="O119" s="2" t="s">
        <v>454</v>
      </c>
      <c r="P119" s="2" t="s">
        <v>463</v>
      </c>
      <c r="Q119" s="23" t="s">
        <v>216</v>
      </c>
      <c r="R119" s="13" t="s">
        <v>36</v>
      </c>
      <c r="S119" s="26">
        <f t="shared" ref="S119:S120" si="198">T119+U119</f>
        <v>349633.9</v>
      </c>
      <c r="T119" s="204">
        <v>349633.9</v>
      </c>
      <c r="U119" s="130">
        <v>0</v>
      </c>
      <c r="V119" s="26">
        <f t="shared" si="193"/>
        <v>53473.42</v>
      </c>
      <c r="W119" s="205">
        <v>53473.42</v>
      </c>
      <c r="X119" s="130">
        <v>0</v>
      </c>
      <c r="Y119" s="26">
        <f t="shared" ref="Y119:Y120" si="199">Z119+AA119</f>
        <v>8226.68</v>
      </c>
      <c r="Z119" s="205">
        <v>8226.68</v>
      </c>
      <c r="AA119" s="130">
        <v>0</v>
      </c>
      <c r="AB119" s="25">
        <f t="shared" si="191"/>
        <v>0</v>
      </c>
      <c r="AC119" s="206">
        <v>0</v>
      </c>
      <c r="AD119" s="206">
        <v>0</v>
      </c>
      <c r="AE119" s="25">
        <f t="shared" si="182"/>
        <v>411334</v>
      </c>
      <c r="AF119" s="25">
        <v>0</v>
      </c>
      <c r="AG119" s="25">
        <f t="shared" si="194"/>
        <v>411334</v>
      </c>
      <c r="AH119" s="28" t="s">
        <v>627</v>
      </c>
      <c r="AI119" s="72" t="s">
        <v>187</v>
      </c>
      <c r="AJ119" s="39">
        <f>41133.4+12089.93+41133.4</f>
        <v>94356.73000000001</v>
      </c>
      <c r="AK119" s="29">
        <v>8140.04</v>
      </c>
    </row>
    <row r="120" spans="1:37" ht="204.75" x14ac:dyDescent="0.25">
      <c r="A120" s="5">
        <v>114</v>
      </c>
      <c r="B120" s="67">
        <v>126118</v>
      </c>
      <c r="C120" s="118">
        <v>530</v>
      </c>
      <c r="D120" s="2" t="s">
        <v>176</v>
      </c>
      <c r="E120" s="7" t="s">
        <v>1247</v>
      </c>
      <c r="F120" s="135" t="s">
        <v>1191</v>
      </c>
      <c r="G120" s="203" t="s">
        <v>1248</v>
      </c>
      <c r="H120" s="203" t="s">
        <v>1249</v>
      </c>
      <c r="I120" s="13" t="s">
        <v>459</v>
      </c>
      <c r="J120" s="11" t="s">
        <v>1250</v>
      </c>
      <c r="K120" s="104">
        <v>43447</v>
      </c>
      <c r="L120" s="8">
        <v>44116</v>
      </c>
      <c r="M120" s="4">
        <f t="shared" si="197"/>
        <v>85.000000836129914</v>
      </c>
      <c r="N120" s="112">
        <v>3</v>
      </c>
      <c r="O120" s="2" t="s">
        <v>454</v>
      </c>
      <c r="P120" s="2" t="s">
        <v>454</v>
      </c>
      <c r="Q120" s="23" t="s">
        <v>216</v>
      </c>
      <c r="R120" s="13" t="s">
        <v>36</v>
      </c>
      <c r="S120" s="26">
        <f t="shared" si="198"/>
        <v>813270.76</v>
      </c>
      <c r="T120" s="204">
        <v>813270.76</v>
      </c>
      <c r="U120" s="130">
        <v>0</v>
      </c>
      <c r="V120" s="26">
        <f t="shared" si="193"/>
        <v>124382.58</v>
      </c>
      <c r="W120" s="205">
        <v>124382.58</v>
      </c>
      <c r="X120" s="205">
        <v>0</v>
      </c>
      <c r="Y120" s="26">
        <f t="shared" si="199"/>
        <v>19135.78</v>
      </c>
      <c r="Z120" s="205">
        <v>19135.78</v>
      </c>
      <c r="AA120" s="205">
        <v>0</v>
      </c>
      <c r="AB120" s="25">
        <f t="shared" si="191"/>
        <v>0</v>
      </c>
      <c r="AC120" s="27">
        <v>0</v>
      </c>
      <c r="AD120" s="27">
        <v>0</v>
      </c>
      <c r="AE120" s="25">
        <f t="shared" si="182"/>
        <v>956789.12</v>
      </c>
      <c r="AF120" s="32"/>
      <c r="AG120" s="25">
        <f t="shared" si="194"/>
        <v>956789.12</v>
      </c>
      <c r="AH120" s="28" t="s">
        <v>920</v>
      </c>
      <c r="AI120" s="32"/>
      <c r="AJ120" s="39">
        <v>0</v>
      </c>
      <c r="AK120" s="39">
        <v>0</v>
      </c>
    </row>
    <row r="121" spans="1:37" ht="220.5" x14ac:dyDescent="0.25">
      <c r="A121" s="5">
        <v>115</v>
      </c>
      <c r="B121" s="81">
        <v>119235</v>
      </c>
      <c r="C121" s="118">
        <v>479</v>
      </c>
      <c r="D121" s="112" t="s">
        <v>172</v>
      </c>
      <c r="E121" s="13" t="s">
        <v>1093</v>
      </c>
      <c r="F121" s="6" t="s">
        <v>584</v>
      </c>
      <c r="G121" s="207" t="s">
        <v>690</v>
      </c>
      <c r="H121" s="20" t="s">
        <v>691</v>
      </c>
      <c r="I121" s="2" t="s">
        <v>187</v>
      </c>
      <c r="J121" s="6" t="s">
        <v>692</v>
      </c>
      <c r="K121" s="8">
        <v>43276</v>
      </c>
      <c r="L121" s="8">
        <v>43702</v>
      </c>
      <c r="M121" s="16">
        <f>S121/AE121*100</f>
        <v>84.999999139224727</v>
      </c>
      <c r="N121" s="85">
        <v>5</v>
      </c>
      <c r="O121" s="85" t="s">
        <v>693</v>
      </c>
      <c r="P121" s="85" t="s">
        <v>694</v>
      </c>
      <c r="Q121" s="85" t="s">
        <v>216</v>
      </c>
      <c r="R121" s="85" t="s">
        <v>588</v>
      </c>
      <c r="S121" s="26">
        <f>T121+U121</f>
        <v>246870.47</v>
      </c>
      <c r="T121" s="29">
        <v>246870.47</v>
      </c>
      <c r="U121" s="130">
        <v>0</v>
      </c>
      <c r="V121" s="26">
        <f>W121+X121</f>
        <v>37756.660000000003</v>
      </c>
      <c r="W121" s="30">
        <v>37756.660000000003</v>
      </c>
      <c r="X121" s="130">
        <v>0</v>
      </c>
      <c r="Y121" s="26">
        <f>Z121+AA121</f>
        <v>5808.72</v>
      </c>
      <c r="Z121" s="29">
        <v>5808.72</v>
      </c>
      <c r="AA121" s="130">
        <v>0</v>
      </c>
      <c r="AB121" s="25">
        <f>AC121+AD121</f>
        <v>0</v>
      </c>
      <c r="AC121" s="128">
        <v>0</v>
      </c>
      <c r="AD121" s="128">
        <v>0</v>
      </c>
      <c r="AE121" s="25">
        <f>S121+V121+Y121+AB121</f>
        <v>290435.84999999998</v>
      </c>
      <c r="AF121" s="32"/>
      <c r="AG121" s="25">
        <f>AE121+AF121</f>
        <v>290435.84999999998</v>
      </c>
      <c r="AH121" s="28" t="s">
        <v>627</v>
      </c>
      <c r="AI121" s="91"/>
      <c r="AJ121" s="39">
        <v>28682</v>
      </c>
      <c r="AK121" s="29">
        <v>0</v>
      </c>
    </row>
    <row r="122" spans="1:37" ht="141.75" x14ac:dyDescent="0.25">
      <c r="A122" s="2">
        <v>116</v>
      </c>
      <c r="B122" s="81">
        <v>119160</v>
      </c>
      <c r="C122" s="118">
        <v>482</v>
      </c>
      <c r="D122" s="112" t="s">
        <v>178</v>
      </c>
      <c r="E122" s="13" t="s">
        <v>1093</v>
      </c>
      <c r="F122" s="6" t="s">
        <v>584</v>
      </c>
      <c r="G122" s="7" t="s">
        <v>866</v>
      </c>
      <c r="H122" s="7" t="s">
        <v>867</v>
      </c>
      <c r="I122" s="2" t="s">
        <v>187</v>
      </c>
      <c r="J122" s="7" t="s">
        <v>868</v>
      </c>
      <c r="K122" s="8">
        <v>43304</v>
      </c>
      <c r="L122" s="8">
        <v>43792</v>
      </c>
      <c r="M122" s="16">
        <f>S122/AE122*100</f>
        <v>84.99999840000666</v>
      </c>
      <c r="N122" s="85">
        <v>5</v>
      </c>
      <c r="O122" s="85" t="s">
        <v>693</v>
      </c>
      <c r="P122" s="85" t="s">
        <v>869</v>
      </c>
      <c r="Q122" s="85" t="s">
        <v>216</v>
      </c>
      <c r="R122" s="2" t="s">
        <v>36</v>
      </c>
      <c r="S122" s="26">
        <f>T122+U122</f>
        <v>212500.88</v>
      </c>
      <c r="T122" s="29">
        <v>212500.88</v>
      </c>
      <c r="U122" s="130">
        <v>0</v>
      </c>
      <c r="V122" s="26">
        <f>W122+X122</f>
        <v>32500.1</v>
      </c>
      <c r="W122" s="30">
        <v>32500.1</v>
      </c>
      <c r="X122" s="130">
        <v>0</v>
      </c>
      <c r="Y122" s="26">
        <f>Z122+AA122</f>
        <v>5000.0600000000004</v>
      </c>
      <c r="Z122" s="29">
        <v>5000.0600000000004</v>
      </c>
      <c r="AA122" s="130">
        <v>0</v>
      </c>
      <c r="AB122" s="25">
        <f>AC122+AD122</f>
        <v>0</v>
      </c>
      <c r="AC122" s="93">
        <v>0</v>
      </c>
      <c r="AD122" s="93"/>
      <c r="AE122" s="25">
        <f>S122+V122+Y122+AB122</f>
        <v>250001.04</v>
      </c>
      <c r="AF122" s="32"/>
      <c r="AG122" s="25">
        <f>AE122+AF122</f>
        <v>250001.04</v>
      </c>
      <c r="AH122" s="28" t="s">
        <v>627</v>
      </c>
      <c r="AI122" s="91"/>
      <c r="AJ122" s="39">
        <v>0</v>
      </c>
      <c r="AK122" s="29">
        <v>0</v>
      </c>
    </row>
    <row r="123" spans="1:37" ht="189" x14ac:dyDescent="0.25">
      <c r="A123" s="5">
        <v>117</v>
      </c>
      <c r="B123" s="67">
        <v>117063</v>
      </c>
      <c r="C123" s="13">
        <v>411</v>
      </c>
      <c r="D123" s="2" t="s">
        <v>741</v>
      </c>
      <c r="E123" s="7" t="s">
        <v>748</v>
      </c>
      <c r="F123" s="2" t="s">
        <v>653</v>
      </c>
      <c r="G123" s="7" t="s">
        <v>925</v>
      </c>
      <c r="H123" s="13" t="s">
        <v>867</v>
      </c>
      <c r="I123" s="112" t="s">
        <v>187</v>
      </c>
      <c r="J123" s="7" t="s">
        <v>926</v>
      </c>
      <c r="K123" s="8">
        <v>43313</v>
      </c>
      <c r="L123" s="8">
        <v>43677</v>
      </c>
      <c r="M123" s="16">
        <f>S123/AE123*100</f>
        <v>85</v>
      </c>
      <c r="N123" s="13">
        <v>5</v>
      </c>
      <c r="O123" s="13" t="s">
        <v>693</v>
      </c>
      <c r="P123" s="13" t="s">
        <v>869</v>
      </c>
      <c r="Q123" s="13" t="s">
        <v>216</v>
      </c>
      <c r="R123" s="2" t="s">
        <v>588</v>
      </c>
      <c r="S123" s="26">
        <f t="shared" ref="S123" si="200">T123+U123</f>
        <v>213015.1</v>
      </c>
      <c r="T123" s="33">
        <v>213015.1</v>
      </c>
      <c r="U123" s="33">
        <v>0</v>
      </c>
      <c r="V123" s="26">
        <f t="shared" si="193"/>
        <v>32578.78</v>
      </c>
      <c r="W123" s="33">
        <v>32578.78</v>
      </c>
      <c r="X123" s="33">
        <v>0</v>
      </c>
      <c r="Y123" s="26">
        <f t="shared" ref="Y123" si="201">Z123+AA123</f>
        <v>5012.12</v>
      </c>
      <c r="Z123" s="38">
        <v>5012.12</v>
      </c>
      <c r="AA123" s="38">
        <v>0</v>
      </c>
      <c r="AB123" s="25">
        <f t="shared" si="191"/>
        <v>0</v>
      </c>
      <c r="AC123" s="25">
        <v>0</v>
      </c>
      <c r="AD123" s="25">
        <v>0</v>
      </c>
      <c r="AE123" s="25">
        <f t="shared" si="182"/>
        <v>250606</v>
      </c>
      <c r="AF123" s="32"/>
      <c r="AG123" s="25">
        <f t="shared" si="194"/>
        <v>250606</v>
      </c>
      <c r="AH123" s="28" t="s">
        <v>627</v>
      </c>
      <c r="AI123" s="32"/>
      <c r="AJ123" s="77">
        <v>0</v>
      </c>
      <c r="AK123" s="77">
        <v>0</v>
      </c>
    </row>
    <row r="124" spans="1:37" ht="189" x14ac:dyDescent="0.25">
      <c r="A124" s="5">
        <v>118</v>
      </c>
      <c r="B124" s="67">
        <v>119289</v>
      </c>
      <c r="C124" s="13">
        <v>484</v>
      </c>
      <c r="D124" s="2" t="s">
        <v>175</v>
      </c>
      <c r="E124" s="13" t="s">
        <v>1093</v>
      </c>
      <c r="F124" s="2" t="s">
        <v>584</v>
      </c>
      <c r="G124" s="207" t="s">
        <v>667</v>
      </c>
      <c r="H124" s="6" t="s">
        <v>668</v>
      </c>
      <c r="I124" s="2" t="s">
        <v>385</v>
      </c>
      <c r="J124" s="3" t="s">
        <v>669</v>
      </c>
      <c r="K124" s="104">
        <v>43271</v>
      </c>
      <c r="L124" s="8">
        <v>43758</v>
      </c>
      <c r="M124" s="4">
        <f>S124/AE124*100</f>
        <v>85.000003319296809</v>
      </c>
      <c r="N124" s="112">
        <v>3</v>
      </c>
      <c r="O124" s="2" t="s">
        <v>469</v>
      </c>
      <c r="P124" s="2" t="s">
        <v>626</v>
      </c>
      <c r="Q124" s="2" t="s">
        <v>216</v>
      </c>
      <c r="R124" s="2" t="s">
        <v>588</v>
      </c>
      <c r="S124" s="26">
        <f>T124+U124</f>
        <v>332901.85000000009</v>
      </c>
      <c r="T124" s="93">
        <v>332901.85000000009</v>
      </c>
      <c r="U124" s="93">
        <v>0</v>
      </c>
      <c r="V124" s="26">
        <f>W124+X124</f>
        <v>50914.380000000005</v>
      </c>
      <c r="W124" s="93">
        <v>50914.380000000005</v>
      </c>
      <c r="X124" s="93">
        <v>0</v>
      </c>
      <c r="Y124" s="26">
        <f>Z124+AA124</f>
        <v>7832.9900000000016</v>
      </c>
      <c r="Z124" s="29">
        <v>7832.9900000000016</v>
      </c>
      <c r="AA124" s="29">
        <v>0</v>
      </c>
      <c r="AB124" s="25">
        <f>AC124+AD124</f>
        <v>0</v>
      </c>
      <c r="AC124" s="124">
        <v>0</v>
      </c>
      <c r="AD124" s="124">
        <v>0</v>
      </c>
      <c r="AE124" s="25">
        <f>S124+V124+Y124+AB124</f>
        <v>391649.22000000009</v>
      </c>
      <c r="AF124" s="93">
        <v>0</v>
      </c>
      <c r="AG124" s="25">
        <f>AE124+AF124</f>
        <v>391649.22000000009</v>
      </c>
      <c r="AH124" s="28" t="s">
        <v>627</v>
      </c>
      <c r="AI124" s="32"/>
      <c r="AJ124" s="77">
        <f>38381.62-1141.39</f>
        <v>37240.230000000003</v>
      </c>
      <c r="AK124" s="29">
        <v>5695.57</v>
      </c>
    </row>
    <row r="125" spans="1:37" ht="409.5" x14ac:dyDescent="0.25">
      <c r="A125" s="2">
        <v>119</v>
      </c>
      <c r="B125" s="81">
        <v>118717</v>
      </c>
      <c r="C125" s="118">
        <v>435</v>
      </c>
      <c r="D125" s="112" t="s">
        <v>741</v>
      </c>
      <c r="E125" s="7" t="s">
        <v>748</v>
      </c>
      <c r="F125" s="119" t="s">
        <v>653</v>
      </c>
      <c r="G125" s="207" t="s">
        <v>1011</v>
      </c>
      <c r="H125" s="2" t="s">
        <v>668</v>
      </c>
      <c r="I125" s="2" t="s">
        <v>385</v>
      </c>
      <c r="J125" s="11" t="s">
        <v>1012</v>
      </c>
      <c r="K125" s="104">
        <v>43333</v>
      </c>
      <c r="L125" s="8">
        <v>43790</v>
      </c>
      <c r="M125" s="4">
        <f t="shared" ref="M125" si="202">S125/AE125*100</f>
        <v>84.999995136543049</v>
      </c>
      <c r="N125" s="13">
        <v>3</v>
      </c>
      <c r="O125" s="2" t="s">
        <v>469</v>
      </c>
      <c r="P125" s="2" t="s">
        <v>626</v>
      </c>
      <c r="Q125" s="2" t="s">
        <v>216</v>
      </c>
      <c r="R125" s="2" t="s">
        <v>588</v>
      </c>
      <c r="S125" s="26">
        <f t="shared" ref="S125" si="203">T125+U125</f>
        <v>227204.63</v>
      </c>
      <c r="T125" s="33">
        <v>227204.63</v>
      </c>
      <c r="U125" s="33"/>
      <c r="V125" s="26">
        <f t="shared" si="193"/>
        <v>34748.959999999999</v>
      </c>
      <c r="W125" s="33">
        <v>34748.959999999999</v>
      </c>
      <c r="X125" s="33"/>
      <c r="Y125" s="26">
        <f t="shared" ref="Y125" si="204">Z125+AA125</f>
        <v>5345.99</v>
      </c>
      <c r="Z125" s="38">
        <v>5345.99</v>
      </c>
      <c r="AA125" s="38">
        <v>0</v>
      </c>
      <c r="AB125" s="25">
        <f t="shared" si="191"/>
        <v>0</v>
      </c>
      <c r="AC125" s="33"/>
      <c r="AD125" s="33"/>
      <c r="AE125" s="25">
        <f t="shared" si="182"/>
        <v>267299.58</v>
      </c>
      <c r="AF125" s="32">
        <v>37391</v>
      </c>
      <c r="AG125" s="25">
        <f t="shared" si="194"/>
        <v>304690.58</v>
      </c>
      <c r="AH125" s="28" t="s">
        <v>627</v>
      </c>
      <c r="AI125" s="28" t="s">
        <v>1251</v>
      </c>
      <c r="AJ125" s="77">
        <v>26729</v>
      </c>
      <c r="AK125" s="77">
        <v>0</v>
      </c>
    </row>
    <row r="126" spans="1:37" ht="236.25" x14ac:dyDescent="0.25">
      <c r="A126" s="5">
        <v>120</v>
      </c>
      <c r="B126" s="67">
        <v>119720</v>
      </c>
      <c r="C126" s="13">
        <v>481</v>
      </c>
      <c r="D126" s="2" t="s">
        <v>175</v>
      </c>
      <c r="E126" s="13" t="s">
        <v>1093</v>
      </c>
      <c r="F126" s="2" t="s">
        <v>584</v>
      </c>
      <c r="G126" s="207" t="s">
        <v>628</v>
      </c>
      <c r="H126" s="6" t="s">
        <v>629</v>
      </c>
      <c r="I126" s="2" t="s">
        <v>385</v>
      </c>
      <c r="J126" s="3" t="s">
        <v>631</v>
      </c>
      <c r="K126" s="104">
        <v>43264</v>
      </c>
      <c r="L126" s="8">
        <v>43751</v>
      </c>
      <c r="M126" s="4">
        <f>S126/AE126*100</f>
        <v>85.00000159999999</v>
      </c>
      <c r="N126" s="112">
        <v>3</v>
      </c>
      <c r="O126" s="2" t="s">
        <v>470</v>
      </c>
      <c r="P126" s="2" t="s">
        <v>630</v>
      </c>
      <c r="Q126" s="2" t="s">
        <v>216</v>
      </c>
      <c r="R126" s="2" t="s">
        <v>588</v>
      </c>
      <c r="S126" s="26">
        <f>T126+U126</f>
        <v>531250.01</v>
      </c>
      <c r="T126" s="93">
        <v>531250.01</v>
      </c>
      <c r="U126" s="93">
        <v>0</v>
      </c>
      <c r="V126" s="26">
        <f>W126+X126</f>
        <v>81249.989999999991</v>
      </c>
      <c r="W126" s="93">
        <v>81249.989999999991</v>
      </c>
      <c r="X126" s="93">
        <v>0</v>
      </c>
      <c r="Y126" s="26">
        <f>Z126+AA126</f>
        <v>12500</v>
      </c>
      <c r="Z126" s="29">
        <v>12500</v>
      </c>
      <c r="AA126" s="29">
        <v>0</v>
      </c>
      <c r="AB126" s="25">
        <f>AC126+AD126</f>
        <v>0</v>
      </c>
      <c r="AC126" s="124">
        <v>0</v>
      </c>
      <c r="AD126" s="124">
        <v>0</v>
      </c>
      <c r="AE126" s="25">
        <f>S126+V126+Y126+AB126</f>
        <v>625000</v>
      </c>
      <c r="AF126" s="93">
        <v>19813.5</v>
      </c>
      <c r="AG126" s="25">
        <f>AE126+AF126</f>
        <v>644813.5</v>
      </c>
      <c r="AH126" s="28" t="s">
        <v>627</v>
      </c>
      <c r="AI126" s="32"/>
      <c r="AJ126" s="77">
        <v>37222.35</v>
      </c>
      <c r="AK126" s="29">
        <v>5692.83</v>
      </c>
    </row>
    <row r="127" spans="1:37" s="196" customFormat="1" ht="283.5" x14ac:dyDescent="0.25">
      <c r="A127" s="5">
        <v>121</v>
      </c>
      <c r="B127" s="123">
        <v>118770</v>
      </c>
      <c r="C127" s="13">
        <v>440</v>
      </c>
      <c r="D127" s="13" t="s">
        <v>892</v>
      </c>
      <c r="E127" s="7" t="s">
        <v>748</v>
      </c>
      <c r="F127" s="7" t="s">
        <v>653</v>
      </c>
      <c r="G127" s="7" t="s">
        <v>944</v>
      </c>
      <c r="H127" s="13" t="s">
        <v>945</v>
      </c>
      <c r="I127" s="13" t="s">
        <v>187</v>
      </c>
      <c r="J127" s="7" t="s">
        <v>947</v>
      </c>
      <c r="K127" s="8">
        <v>43318</v>
      </c>
      <c r="L127" s="8">
        <v>43683</v>
      </c>
      <c r="M127" s="16">
        <f t="shared" ref="M127" si="205">S127/AE127*100</f>
        <v>85</v>
      </c>
      <c r="N127" s="13">
        <v>3</v>
      </c>
      <c r="O127" s="13" t="s">
        <v>470</v>
      </c>
      <c r="P127" s="13" t="s">
        <v>946</v>
      </c>
      <c r="Q127" s="13" t="s">
        <v>216</v>
      </c>
      <c r="R127" s="13" t="s">
        <v>588</v>
      </c>
      <c r="S127" s="26">
        <f t="shared" ref="S127" si="206">T127+U127</f>
        <v>254981.3</v>
      </c>
      <c r="T127" s="39">
        <v>254981.3</v>
      </c>
      <c r="U127" s="74">
        <v>0</v>
      </c>
      <c r="V127" s="26">
        <f t="shared" si="193"/>
        <v>38997.14</v>
      </c>
      <c r="W127" s="39">
        <v>38997.14</v>
      </c>
      <c r="X127" s="74">
        <v>0</v>
      </c>
      <c r="Y127" s="26">
        <f t="shared" ref="Y127" si="207">Z127+AA127</f>
        <v>5999.56</v>
      </c>
      <c r="Z127" s="39">
        <v>5999.56</v>
      </c>
      <c r="AA127" s="39">
        <v>0</v>
      </c>
      <c r="AB127" s="27">
        <f t="shared" si="191"/>
        <v>0</v>
      </c>
      <c r="AC127" s="74">
        <v>0</v>
      </c>
      <c r="AD127" s="74">
        <v>0</v>
      </c>
      <c r="AE127" s="27">
        <f t="shared" si="182"/>
        <v>299978</v>
      </c>
      <c r="AF127" s="28">
        <v>0</v>
      </c>
      <c r="AG127" s="27">
        <f t="shared" si="194"/>
        <v>299978</v>
      </c>
      <c r="AH127" s="28" t="s">
        <v>627</v>
      </c>
      <c r="AI127" s="28"/>
      <c r="AJ127" s="77">
        <f>29900+23800.54</f>
        <v>53700.54</v>
      </c>
      <c r="AK127" s="77">
        <v>8213.02</v>
      </c>
    </row>
    <row r="128" spans="1:37" ht="204.75" x14ac:dyDescent="0.25">
      <c r="A128" s="2">
        <v>122</v>
      </c>
      <c r="B128" s="67">
        <v>120582</v>
      </c>
      <c r="C128" s="118">
        <v>109</v>
      </c>
      <c r="D128" s="2" t="s">
        <v>175</v>
      </c>
      <c r="E128" s="7" t="s">
        <v>1018</v>
      </c>
      <c r="F128" s="119" t="s">
        <v>366</v>
      </c>
      <c r="G128" s="6" t="s">
        <v>219</v>
      </c>
      <c r="H128" s="6" t="s">
        <v>222</v>
      </c>
      <c r="I128" s="2" t="s">
        <v>187</v>
      </c>
      <c r="J128" s="3" t="s">
        <v>225</v>
      </c>
      <c r="K128" s="104">
        <v>43129</v>
      </c>
      <c r="L128" s="8">
        <v>43614</v>
      </c>
      <c r="M128" s="4">
        <f t="shared" ref="M128:M134" si="208">S128/AE128*100</f>
        <v>85.000000819683009</v>
      </c>
      <c r="N128" s="2">
        <v>1</v>
      </c>
      <c r="O128" s="2" t="s">
        <v>229</v>
      </c>
      <c r="P128" s="2" t="s">
        <v>229</v>
      </c>
      <c r="Q128" s="18" t="s">
        <v>216</v>
      </c>
      <c r="R128" s="2" t="s">
        <v>36</v>
      </c>
      <c r="S128" s="25">
        <f>T128+U128</f>
        <v>518493.12</v>
      </c>
      <c r="T128" s="25">
        <v>518493.12</v>
      </c>
      <c r="U128" s="25">
        <v>0</v>
      </c>
      <c r="V128" s="26">
        <f t="shared" si="193"/>
        <v>79298.94</v>
      </c>
      <c r="W128" s="25">
        <v>79298.94</v>
      </c>
      <c r="X128" s="25">
        <v>0</v>
      </c>
      <c r="Y128" s="25">
        <f>Z128+AA128</f>
        <v>12199.84</v>
      </c>
      <c r="Z128" s="25">
        <v>12199.84</v>
      </c>
      <c r="AA128" s="25">
        <v>0</v>
      </c>
      <c r="AB128" s="25">
        <f t="shared" si="191"/>
        <v>0</v>
      </c>
      <c r="AC128" s="25"/>
      <c r="AD128" s="25"/>
      <c r="AE128" s="25">
        <f t="shared" si="182"/>
        <v>609991.9</v>
      </c>
      <c r="AF128" s="25">
        <v>0</v>
      </c>
      <c r="AG128" s="25">
        <f t="shared" si="194"/>
        <v>609991.9</v>
      </c>
      <c r="AH128" s="28" t="s">
        <v>627</v>
      </c>
      <c r="AI128" s="72" t="s">
        <v>187</v>
      </c>
      <c r="AJ128" s="39">
        <f>120214.04+104774.33</f>
        <v>224988.37</v>
      </c>
      <c r="AK128" s="34">
        <f>18385.68+16024.31</f>
        <v>34409.99</v>
      </c>
    </row>
    <row r="129" spans="1:37" ht="173.25" x14ac:dyDescent="0.25">
      <c r="A129" s="5">
        <v>123</v>
      </c>
      <c r="B129" s="67">
        <v>120630</v>
      </c>
      <c r="C129" s="118">
        <v>101</v>
      </c>
      <c r="D129" s="2" t="s">
        <v>175</v>
      </c>
      <c r="E129" s="7" t="s">
        <v>1018</v>
      </c>
      <c r="F129" s="119" t="s">
        <v>366</v>
      </c>
      <c r="G129" s="6" t="s">
        <v>315</v>
      </c>
      <c r="H129" s="6" t="s">
        <v>318</v>
      </c>
      <c r="I129" s="2" t="s">
        <v>187</v>
      </c>
      <c r="J129" s="11" t="s">
        <v>324</v>
      </c>
      <c r="K129" s="104">
        <v>43145</v>
      </c>
      <c r="L129" s="8">
        <v>43630</v>
      </c>
      <c r="M129" s="4">
        <f t="shared" si="208"/>
        <v>85.000000236289679</v>
      </c>
      <c r="N129" s="2">
        <v>1</v>
      </c>
      <c r="O129" s="2" t="s">
        <v>229</v>
      </c>
      <c r="P129" s="2" t="s">
        <v>323</v>
      </c>
      <c r="Q129" s="18" t="s">
        <v>216</v>
      </c>
      <c r="R129" s="2" t="s">
        <v>36</v>
      </c>
      <c r="S129" s="25">
        <f t="shared" ref="S129:S130" si="209">T129+U129</f>
        <v>359727.94</v>
      </c>
      <c r="T129" s="25">
        <v>359727.94</v>
      </c>
      <c r="U129" s="25">
        <v>0</v>
      </c>
      <c r="V129" s="26">
        <f t="shared" si="193"/>
        <v>55017.21</v>
      </c>
      <c r="W129" s="25">
        <v>55017.21</v>
      </c>
      <c r="X129" s="25">
        <v>0</v>
      </c>
      <c r="Y129" s="25">
        <f t="shared" ref="Y129:Y133" si="210">Z129+AA129</f>
        <v>8464.19</v>
      </c>
      <c r="Z129" s="25">
        <v>8464.19</v>
      </c>
      <c r="AA129" s="25">
        <v>0</v>
      </c>
      <c r="AB129" s="25">
        <f t="shared" si="191"/>
        <v>0</v>
      </c>
      <c r="AC129" s="25"/>
      <c r="AD129" s="25"/>
      <c r="AE129" s="25">
        <f t="shared" si="182"/>
        <v>423209.34</v>
      </c>
      <c r="AF129" s="25">
        <v>0</v>
      </c>
      <c r="AG129" s="25">
        <f t="shared" si="194"/>
        <v>423209.34</v>
      </c>
      <c r="AH129" s="28" t="s">
        <v>627</v>
      </c>
      <c r="AI129" s="72"/>
      <c r="AJ129" s="39">
        <f>172923.58+1813.03+21160</f>
        <v>195896.61</v>
      </c>
      <c r="AK129" s="29">
        <f>21665.98+2851.77</f>
        <v>24517.75</v>
      </c>
    </row>
    <row r="130" spans="1:37" ht="173.25" x14ac:dyDescent="0.25">
      <c r="A130" s="5">
        <v>124</v>
      </c>
      <c r="B130" s="67">
        <v>120672</v>
      </c>
      <c r="C130" s="118">
        <v>106</v>
      </c>
      <c r="D130" s="2" t="s">
        <v>175</v>
      </c>
      <c r="E130" s="7" t="s">
        <v>1018</v>
      </c>
      <c r="F130" s="119" t="s">
        <v>366</v>
      </c>
      <c r="G130" s="6" t="s">
        <v>316</v>
      </c>
      <c r="H130" s="6" t="s">
        <v>319</v>
      </c>
      <c r="I130" s="2" t="s">
        <v>187</v>
      </c>
      <c r="J130" s="11" t="s">
        <v>325</v>
      </c>
      <c r="K130" s="104">
        <v>43145</v>
      </c>
      <c r="L130" s="8">
        <v>43630</v>
      </c>
      <c r="M130" s="4">
        <f t="shared" si="208"/>
        <v>84.999999174149096</v>
      </c>
      <c r="N130" s="2">
        <v>1</v>
      </c>
      <c r="O130" s="2" t="s">
        <v>229</v>
      </c>
      <c r="P130" s="2" t="s">
        <v>229</v>
      </c>
      <c r="Q130" s="18" t="s">
        <v>216</v>
      </c>
      <c r="R130" s="2" t="s">
        <v>36</v>
      </c>
      <c r="S130" s="25">
        <f t="shared" si="209"/>
        <v>360234.51</v>
      </c>
      <c r="T130" s="208">
        <v>360234.51</v>
      </c>
      <c r="U130" s="25">
        <v>0</v>
      </c>
      <c r="V130" s="26">
        <f t="shared" si="193"/>
        <v>55094.69</v>
      </c>
      <c r="W130" s="209">
        <v>55094.69</v>
      </c>
      <c r="X130" s="25">
        <v>0</v>
      </c>
      <c r="Y130" s="102">
        <f t="shared" si="210"/>
        <v>8476.11</v>
      </c>
      <c r="Z130" s="93">
        <v>8476.11</v>
      </c>
      <c r="AA130" s="102">
        <v>0</v>
      </c>
      <c r="AB130" s="102">
        <f t="shared" si="191"/>
        <v>0</v>
      </c>
      <c r="AC130" s="25"/>
      <c r="AD130" s="25"/>
      <c r="AE130" s="25">
        <f t="shared" si="182"/>
        <v>423805.31</v>
      </c>
      <c r="AF130" s="25">
        <v>0</v>
      </c>
      <c r="AG130" s="25">
        <f t="shared" si="194"/>
        <v>423805.31</v>
      </c>
      <c r="AH130" s="28" t="s">
        <v>627</v>
      </c>
      <c r="AI130" s="72"/>
      <c r="AJ130" s="39">
        <f>63226.44+99468.28</f>
        <v>162694.72</v>
      </c>
      <c r="AK130" s="29">
        <f>9669.93+15212.79</f>
        <v>24882.720000000001</v>
      </c>
    </row>
    <row r="131" spans="1:37" ht="141.75" x14ac:dyDescent="0.25">
      <c r="A131" s="2">
        <v>125</v>
      </c>
      <c r="B131" s="67">
        <v>118196</v>
      </c>
      <c r="C131" s="112">
        <v>425</v>
      </c>
      <c r="D131" s="2" t="s">
        <v>643</v>
      </c>
      <c r="E131" s="7" t="s">
        <v>748</v>
      </c>
      <c r="F131" s="119" t="s">
        <v>653</v>
      </c>
      <c r="G131" s="6" t="s">
        <v>644</v>
      </c>
      <c r="H131" s="6" t="s">
        <v>647</v>
      </c>
      <c r="I131" s="2" t="s">
        <v>459</v>
      </c>
      <c r="J131" s="11" t="s">
        <v>645</v>
      </c>
      <c r="K131" s="104">
        <v>43269</v>
      </c>
      <c r="L131" s="104">
        <v>43756</v>
      </c>
      <c r="M131" s="4">
        <f t="shared" si="208"/>
        <v>85</v>
      </c>
      <c r="N131" s="2">
        <v>1</v>
      </c>
      <c r="O131" s="2" t="s">
        <v>229</v>
      </c>
      <c r="P131" s="2" t="s">
        <v>229</v>
      </c>
      <c r="Q131" s="18" t="s">
        <v>216</v>
      </c>
      <c r="R131" s="2" t="s">
        <v>36</v>
      </c>
      <c r="S131" s="93">
        <f>T131+U131</f>
        <v>339668.5</v>
      </c>
      <c r="T131" s="93">
        <v>339668.5</v>
      </c>
      <c r="U131" s="93">
        <v>0</v>
      </c>
      <c r="V131" s="26">
        <f t="shared" si="193"/>
        <v>51949.3</v>
      </c>
      <c r="W131" s="93">
        <v>51949.3</v>
      </c>
      <c r="X131" s="93">
        <v>0</v>
      </c>
      <c r="Y131" s="102">
        <f t="shared" si="210"/>
        <v>7992.2</v>
      </c>
      <c r="Z131" s="93">
        <v>7992.2</v>
      </c>
      <c r="AA131" s="93">
        <v>0</v>
      </c>
      <c r="AB131" s="25">
        <f>AC131+AD131</f>
        <v>0</v>
      </c>
      <c r="AC131" s="93"/>
      <c r="AD131" s="93"/>
      <c r="AE131" s="25">
        <f>S131+V131+Y131+AB131</f>
        <v>399610</v>
      </c>
      <c r="AF131" s="93">
        <v>0</v>
      </c>
      <c r="AG131" s="25">
        <f>AE131+AF131</f>
        <v>399610</v>
      </c>
      <c r="AH131" s="28" t="s">
        <v>627</v>
      </c>
      <c r="AI131" s="72"/>
      <c r="AJ131" s="29">
        <f>16507.97+46617.76</f>
        <v>63125.73</v>
      </c>
      <c r="AK131" s="29">
        <f>2524.75+7129.77</f>
        <v>9654.52</v>
      </c>
    </row>
    <row r="132" spans="1:37" ht="141.75" x14ac:dyDescent="0.25">
      <c r="A132" s="5">
        <v>126</v>
      </c>
      <c r="B132" s="67">
        <v>126155</v>
      </c>
      <c r="C132" s="112">
        <v>544</v>
      </c>
      <c r="D132" s="2" t="s">
        <v>177</v>
      </c>
      <c r="E132" s="7" t="s">
        <v>748</v>
      </c>
      <c r="F132" s="119" t="s">
        <v>1191</v>
      </c>
      <c r="G132" s="6" t="s">
        <v>1209</v>
      </c>
      <c r="H132" s="6" t="s">
        <v>1210</v>
      </c>
      <c r="I132" s="2" t="s">
        <v>459</v>
      </c>
      <c r="J132" s="11" t="s">
        <v>1211</v>
      </c>
      <c r="K132" s="104">
        <v>43437</v>
      </c>
      <c r="L132" s="8">
        <v>44411</v>
      </c>
      <c r="M132" s="4">
        <f t="shared" si="208"/>
        <v>85.000000318097122</v>
      </c>
      <c r="N132" s="2">
        <v>1</v>
      </c>
      <c r="O132" s="2" t="s">
        <v>229</v>
      </c>
      <c r="P132" s="2" t="s">
        <v>229</v>
      </c>
      <c r="Q132" s="18" t="s">
        <v>216</v>
      </c>
      <c r="R132" s="2" t="s">
        <v>36</v>
      </c>
      <c r="S132" s="93">
        <f t="shared" ref="S132:S133" si="211">T132+U132</f>
        <v>2672139.91</v>
      </c>
      <c r="T132" s="93">
        <v>2672139.91</v>
      </c>
      <c r="U132" s="93">
        <v>0</v>
      </c>
      <c r="V132" s="26">
        <f t="shared" si="193"/>
        <v>408680.21</v>
      </c>
      <c r="W132" s="93">
        <v>408680.21</v>
      </c>
      <c r="X132" s="93">
        <v>0</v>
      </c>
      <c r="Y132" s="102">
        <f t="shared" si="210"/>
        <v>62873.88</v>
      </c>
      <c r="Z132" s="93">
        <v>62873.88</v>
      </c>
      <c r="AA132" s="93">
        <v>0</v>
      </c>
      <c r="AB132" s="25">
        <f t="shared" ref="AB132:AB133" si="212">AC132+AD132</f>
        <v>0</v>
      </c>
      <c r="AC132" s="27">
        <v>0</v>
      </c>
      <c r="AD132" s="27">
        <v>0</v>
      </c>
      <c r="AE132" s="25">
        <f t="shared" ref="AE132:AE133" si="213">S132+V132+Y132+AB132</f>
        <v>3143694</v>
      </c>
      <c r="AF132" s="93">
        <v>0</v>
      </c>
      <c r="AG132" s="25">
        <f>AE132+AF132</f>
        <v>3143694</v>
      </c>
      <c r="AH132" s="28" t="s">
        <v>627</v>
      </c>
      <c r="AI132" s="72"/>
      <c r="AJ132" s="29">
        <v>0</v>
      </c>
      <c r="AK132" s="29">
        <v>0</v>
      </c>
    </row>
    <row r="133" spans="1:37" ht="138" customHeight="1" x14ac:dyDescent="0.25">
      <c r="A133" s="5">
        <v>127</v>
      </c>
      <c r="B133" s="67">
        <v>125900</v>
      </c>
      <c r="C133" s="112">
        <v>518</v>
      </c>
      <c r="D133" s="2" t="s">
        <v>689</v>
      </c>
      <c r="E133" s="7" t="s">
        <v>748</v>
      </c>
      <c r="F133" s="119" t="s">
        <v>1191</v>
      </c>
      <c r="G133" s="6" t="s">
        <v>1217</v>
      </c>
      <c r="H133" s="6" t="s">
        <v>1218</v>
      </c>
      <c r="I133" s="2" t="s">
        <v>459</v>
      </c>
      <c r="J133" s="11" t="s">
        <v>1219</v>
      </c>
      <c r="K133" s="104">
        <v>43439</v>
      </c>
      <c r="L133" s="8">
        <v>43621</v>
      </c>
      <c r="M133" s="4">
        <f t="shared" si="208"/>
        <v>85.000001224772731</v>
      </c>
      <c r="N133" s="2">
        <v>1</v>
      </c>
      <c r="O133" s="2" t="s">
        <v>229</v>
      </c>
      <c r="P133" s="2" t="s">
        <v>229</v>
      </c>
      <c r="Q133" s="18" t="s">
        <v>216</v>
      </c>
      <c r="R133" s="2" t="s">
        <v>36</v>
      </c>
      <c r="S133" s="93">
        <f t="shared" si="211"/>
        <v>694006.31</v>
      </c>
      <c r="T133" s="93">
        <v>694006.31</v>
      </c>
      <c r="U133" s="93">
        <v>0</v>
      </c>
      <c r="V133" s="26">
        <f t="shared" si="193"/>
        <v>106142.13</v>
      </c>
      <c r="W133" s="93">
        <v>106142.13</v>
      </c>
      <c r="X133" s="93">
        <v>0</v>
      </c>
      <c r="Y133" s="102">
        <f t="shared" si="210"/>
        <v>16329.56</v>
      </c>
      <c r="Z133" s="93">
        <v>16329.56</v>
      </c>
      <c r="AA133" s="93">
        <v>0</v>
      </c>
      <c r="AB133" s="25">
        <f t="shared" si="212"/>
        <v>0</v>
      </c>
      <c r="AC133" s="93">
        <v>0</v>
      </c>
      <c r="AD133" s="93">
        <v>0</v>
      </c>
      <c r="AE133" s="25">
        <f t="shared" si="213"/>
        <v>816478.00000000012</v>
      </c>
      <c r="AF133" s="93">
        <v>0</v>
      </c>
      <c r="AG133" s="25">
        <f t="shared" ref="AG133" si="214">AE133+AF133</f>
        <v>816478.00000000012</v>
      </c>
      <c r="AH133" s="28" t="s">
        <v>627</v>
      </c>
      <c r="AI133" s="72"/>
      <c r="AJ133" s="29">
        <v>0</v>
      </c>
      <c r="AK133" s="29">
        <v>0</v>
      </c>
    </row>
    <row r="134" spans="1:37" ht="409.5" x14ac:dyDescent="0.25">
      <c r="A134" s="2">
        <v>128</v>
      </c>
      <c r="B134" s="67">
        <v>118788</v>
      </c>
      <c r="C134" s="13">
        <v>445</v>
      </c>
      <c r="D134" s="2" t="s">
        <v>892</v>
      </c>
      <c r="E134" s="7" t="s">
        <v>748</v>
      </c>
      <c r="F134" s="6" t="s">
        <v>653</v>
      </c>
      <c r="G134" s="6" t="s">
        <v>964</v>
      </c>
      <c r="H134" s="2" t="s">
        <v>965</v>
      </c>
      <c r="I134" s="2" t="s">
        <v>187</v>
      </c>
      <c r="J134" s="6" t="s">
        <v>966</v>
      </c>
      <c r="K134" s="104">
        <v>43325</v>
      </c>
      <c r="L134" s="8">
        <v>43690</v>
      </c>
      <c r="M134" s="2">
        <f t="shared" si="208"/>
        <v>85.000001253240569</v>
      </c>
      <c r="N134" s="2"/>
      <c r="O134" s="2" t="s">
        <v>471</v>
      </c>
      <c r="P134" s="2" t="s">
        <v>967</v>
      </c>
      <c r="Q134" s="2" t="s">
        <v>216</v>
      </c>
      <c r="R134" s="2" t="s">
        <v>36</v>
      </c>
      <c r="S134" s="29">
        <f>T134+U134</f>
        <v>339120.85</v>
      </c>
      <c r="T134" s="29">
        <v>339120.85</v>
      </c>
      <c r="U134" s="124">
        <v>0</v>
      </c>
      <c r="V134" s="29">
        <f>W134+X134</f>
        <v>51865.54</v>
      </c>
      <c r="W134" s="29">
        <v>51865.54</v>
      </c>
      <c r="X134" s="124">
        <v>0</v>
      </c>
      <c r="Y134" s="29">
        <f>Z134+AA134</f>
        <v>7979.31</v>
      </c>
      <c r="Z134" s="29">
        <v>7979.31</v>
      </c>
      <c r="AA134" s="29">
        <v>0</v>
      </c>
      <c r="AB134" s="25">
        <f>AC134+AD134</f>
        <v>0</v>
      </c>
      <c r="AC134" s="124"/>
      <c r="AD134" s="124"/>
      <c r="AE134" s="25">
        <f t="shared" si="182"/>
        <v>398965.69999999995</v>
      </c>
      <c r="AF134" s="30"/>
      <c r="AG134" s="25">
        <f t="shared" si="194"/>
        <v>398965.69999999995</v>
      </c>
      <c r="AH134" s="28" t="s">
        <v>627</v>
      </c>
      <c r="AI134" s="30" t="s">
        <v>187</v>
      </c>
      <c r="AJ134" s="29">
        <v>74317.960000000006</v>
      </c>
      <c r="AK134" s="29">
        <v>11366.28</v>
      </c>
    </row>
    <row r="135" spans="1:37" ht="267.75" x14ac:dyDescent="0.25">
      <c r="A135" s="5">
        <v>129</v>
      </c>
      <c r="B135" s="67">
        <v>125665</v>
      </c>
      <c r="C135" s="13">
        <v>557</v>
      </c>
      <c r="D135" s="2" t="s">
        <v>175</v>
      </c>
      <c r="E135" s="7" t="s">
        <v>1018</v>
      </c>
      <c r="F135" s="6" t="s">
        <v>1191</v>
      </c>
      <c r="G135" s="6" t="s">
        <v>1192</v>
      </c>
      <c r="H135" s="2" t="s">
        <v>965</v>
      </c>
      <c r="I135" s="2" t="s">
        <v>187</v>
      </c>
      <c r="J135" s="6" t="s">
        <v>1193</v>
      </c>
      <c r="K135" s="104">
        <v>43425</v>
      </c>
      <c r="L135" s="8">
        <v>44248</v>
      </c>
      <c r="M135" s="2">
        <f t="shared" ref="M135" si="215">S135/AE135*100</f>
        <v>84.999999890649349</v>
      </c>
      <c r="N135" s="2">
        <v>2</v>
      </c>
      <c r="O135" s="2" t="s">
        <v>471</v>
      </c>
      <c r="P135" s="2" t="s">
        <v>967</v>
      </c>
      <c r="Q135" s="2" t="s">
        <v>216</v>
      </c>
      <c r="R135" s="2" t="s">
        <v>36</v>
      </c>
      <c r="S135" s="29">
        <f>T135+U135</f>
        <v>3497921.5</v>
      </c>
      <c r="T135" s="29">
        <v>3497921.5</v>
      </c>
      <c r="U135" s="124">
        <v>0</v>
      </c>
      <c r="V135" s="29">
        <f>W135+X135</f>
        <v>534976.2300000001</v>
      </c>
      <c r="W135" s="29">
        <v>534976.2300000001</v>
      </c>
      <c r="X135" s="124">
        <v>0</v>
      </c>
      <c r="Y135" s="29">
        <f>Z135+AA135</f>
        <v>82304.039999999994</v>
      </c>
      <c r="Z135" s="29">
        <v>82304.039999999994</v>
      </c>
      <c r="AA135" s="29">
        <v>0</v>
      </c>
      <c r="AB135" s="25">
        <f>AC135+AD135</f>
        <v>0</v>
      </c>
      <c r="AC135" s="27">
        <v>0</v>
      </c>
      <c r="AD135" s="27">
        <v>0</v>
      </c>
      <c r="AE135" s="25">
        <f t="shared" ref="AE135" si="216">S135+V135+Y135+AB135</f>
        <v>4115201.77</v>
      </c>
      <c r="AF135" s="30">
        <v>114240</v>
      </c>
      <c r="AG135" s="25">
        <f t="shared" ref="AG135" si="217">AE135+AF135</f>
        <v>4229441.7699999996</v>
      </c>
      <c r="AH135" s="28" t="s">
        <v>627</v>
      </c>
      <c r="AI135" s="30" t="s">
        <v>187</v>
      </c>
      <c r="AJ135" s="29">
        <v>0</v>
      </c>
      <c r="AK135" s="29">
        <v>0</v>
      </c>
    </row>
    <row r="136" spans="1:37" s="181" customFormat="1" ht="315" x14ac:dyDescent="0.25">
      <c r="A136" s="5">
        <v>130</v>
      </c>
      <c r="B136" s="67">
        <v>119193</v>
      </c>
      <c r="C136" s="118">
        <v>2</v>
      </c>
      <c r="D136" s="2" t="s">
        <v>173</v>
      </c>
      <c r="E136" s="13" t="s">
        <v>165</v>
      </c>
      <c r="F136" s="119" t="s">
        <v>125</v>
      </c>
      <c r="G136" s="6" t="s">
        <v>37</v>
      </c>
      <c r="H136" s="6" t="s">
        <v>35</v>
      </c>
      <c r="I136" s="112" t="s">
        <v>187</v>
      </c>
      <c r="J136" s="3" t="s">
        <v>38</v>
      </c>
      <c r="K136" s="104">
        <v>42459</v>
      </c>
      <c r="L136" s="8">
        <v>43373</v>
      </c>
      <c r="M136" s="4">
        <f>S136/AE136*100</f>
        <v>83.983862816086358</v>
      </c>
      <c r="N136" s="2" t="s">
        <v>155</v>
      </c>
      <c r="O136" s="2" t="s">
        <v>156</v>
      </c>
      <c r="P136" s="2" t="s">
        <v>156</v>
      </c>
      <c r="Q136" s="18" t="s">
        <v>157</v>
      </c>
      <c r="R136" s="2" t="s">
        <v>36</v>
      </c>
      <c r="S136" s="25">
        <f>T136+U136</f>
        <v>11141147.18</v>
      </c>
      <c r="T136" s="25">
        <v>8984364.5299999993</v>
      </c>
      <c r="U136" s="25">
        <v>2156782.65</v>
      </c>
      <c r="V136" s="25">
        <f>W136+X136</f>
        <v>0</v>
      </c>
      <c r="W136" s="25">
        <v>0</v>
      </c>
      <c r="X136" s="25">
        <v>0</v>
      </c>
      <c r="Y136" s="25">
        <f>Z136+AA136</f>
        <v>2124671.7600000002</v>
      </c>
      <c r="Z136" s="25">
        <v>1585476.09</v>
      </c>
      <c r="AA136" s="25">
        <v>539195.67000000004</v>
      </c>
      <c r="AB136" s="25">
        <f t="shared" si="191"/>
        <v>0</v>
      </c>
      <c r="AC136" s="25"/>
      <c r="AD136" s="25"/>
      <c r="AE136" s="25">
        <f t="shared" si="182"/>
        <v>13265818.939999999</v>
      </c>
      <c r="AF136" s="25">
        <v>0</v>
      </c>
      <c r="AG136" s="25">
        <f t="shared" si="194"/>
        <v>13265818.939999999</v>
      </c>
      <c r="AH136" s="28" t="s">
        <v>1125</v>
      </c>
      <c r="AI136" s="72" t="s">
        <v>362</v>
      </c>
      <c r="AJ136" s="31">
        <f>8636594.63+2463862.74</f>
        <v>11100457.370000001</v>
      </c>
      <c r="AK136" s="29">
        <v>0</v>
      </c>
    </row>
    <row r="137" spans="1:37" ht="204.75" x14ac:dyDescent="0.25">
      <c r="A137" s="2">
        <v>131</v>
      </c>
      <c r="B137" s="67">
        <v>117842</v>
      </c>
      <c r="C137" s="118">
        <v>3</v>
      </c>
      <c r="D137" s="2" t="s">
        <v>173</v>
      </c>
      <c r="E137" s="13" t="s">
        <v>165</v>
      </c>
      <c r="F137" s="210" t="s">
        <v>125</v>
      </c>
      <c r="G137" s="6" t="s">
        <v>40</v>
      </c>
      <c r="H137" s="6" t="s">
        <v>39</v>
      </c>
      <c r="I137" s="2" t="s">
        <v>200</v>
      </c>
      <c r="J137" s="3" t="s">
        <v>41</v>
      </c>
      <c r="K137" s="104">
        <v>42534</v>
      </c>
      <c r="L137" s="8">
        <v>43585</v>
      </c>
      <c r="M137" s="4">
        <f t="shared" ref="M137:M200" si="218">S137/AE137*100</f>
        <v>83.983862836833197</v>
      </c>
      <c r="N137" s="2" t="s">
        <v>155</v>
      </c>
      <c r="O137" s="2" t="s">
        <v>156</v>
      </c>
      <c r="P137" s="2" t="s">
        <v>156</v>
      </c>
      <c r="Q137" s="18" t="s">
        <v>157</v>
      </c>
      <c r="R137" s="2" t="s">
        <v>36</v>
      </c>
      <c r="S137" s="25">
        <f>T137+U137</f>
        <v>16024237.960000001</v>
      </c>
      <c r="T137" s="25">
        <v>12922151.800000001</v>
      </c>
      <c r="U137" s="25">
        <v>3102086.16</v>
      </c>
      <c r="V137" s="25">
        <f t="shared" ref="V137:V200" si="219">W137+X137</f>
        <v>0</v>
      </c>
      <c r="W137" s="25">
        <v>0</v>
      </c>
      <c r="X137" s="25">
        <v>0</v>
      </c>
      <c r="Y137" s="25">
        <f>Z137+AA137</f>
        <v>3055901.27</v>
      </c>
      <c r="Z137" s="25">
        <v>2280379.73</v>
      </c>
      <c r="AA137" s="25">
        <v>775521.54</v>
      </c>
      <c r="AB137" s="25">
        <f t="shared" si="191"/>
        <v>0</v>
      </c>
      <c r="AC137" s="25"/>
      <c r="AD137" s="25"/>
      <c r="AE137" s="25">
        <f t="shared" si="182"/>
        <v>19080139.23</v>
      </c>
      <c r="AF137" s="25">
        <v>0</v>
      </c>
      <c r="AG137" s="25">
        <f t="shared" si="194"/>
        <v>19080139.23</v>
      </c>
      <c r="AH137" s="28" t="s">
        <v>627</v>
      </c>
      <c r="AI137" s="72" t="s">
        <v>1268</v>
      </c>
      <c r="AJ137" s="29">
        <v>9867764.7599999998</v>
      </c>
      <c r="AK137" s="34">
        <v>0</v>
      </c>
    </row>
    <row r="138" spans="1:37" ht="220.5" x14ac:dyDescent="0.25">
      <c r="A138" s="5">
        <v>132</v>
      </c>
      <c r="B138" s="67">
        <v>118291</v>
      </c>
      <c r="C138" s="118">
        <v>4</v>
      </c>
      <c r="D138" s="2" t="s">
        <v>174</v>
      </c>
      <c r="E138" s="13" t="s">
        <v>165</v>
      </c>
      <c r="F138" s="210" t="s">
        <v>125</v>
      </c>
      <c r="G138" s="6" t="s">
        <v>43</v>
      </c>
      <c r="H138" s="6" t="s">
        <v>42</v>
      </c>
      <c r="I138" s="2" t="s">
        <v>199</v>
      </c>
      <c r="J138" s="3" t="s">
        <v>44</v>
      </c>
      <c r="K138" s="104">
        <v>42459</v>
      </c>
      <c r="L138" s="8">
        <v>43220</v>
      </c>
      <c r="M138" s="4">
        <f t="shared" si="218"/>
        <v>83.983862772799696</v>
      </c>
      <c r="N138" s="2" t="s">
        <v>155</v>
      </c>
      <c r="O138" s="2" t="s">
        <v>156</v>
      </c>
      <c r="P138" s="2" t="s">
        <v>156</v>
      </c>
      <c r="Q138" s="18" t="s">
        <v>157</v>
      </c>
      <c r="R138" s="2" t="s">
        <v>36</v>
      </c>
      <c r="S138" s="25">
        <f t="shared" ref="S138:S201" si="220">T138+U138</f>
        <v>9512414.3200000003</v>
      </c>
      <c r="T138" s="25">
        <v>7670933.3799999999</v>
      </c>
      <c r="U138" s="25">
        <v>1841480.94</v>
      </c>
      <c r="V138" s="25">
        <f t="shared" si="219"/>
        <v>0</v>
      </c>
      <c r="W138" s="25">
        <v>0</v>
      </c>
      <c r="X138" s="25">
        <v>0</v>
      </c>
      <c r="Y138" s="25">
        <f t="shared" ref="Y138:Y201" si="221">Z138+AA138</f>
        <v>1814064.3699999999</v>
      </c>
      <c r="Z138" s="25">
        <v>1353694.13</v>
      </c>
      <c r="AA138" s="25">
        <v>460370.24</v>
      </c>
      <c r="AB138" s="25">
        <f t="shared" si="191"/>
        <v>0</v>
      </c>
      <c r="AC138" s="25"/>
      <c r="AD138" s="25"/>
      <c r="AE138" s="25">
        <f t="shared" si="182"/>
        <v>11326478.689999999</v>
      </c>
      <c r="AF138" s="25">
        <v>0</v>
      </c>
      <c r="AG138" s="25">
        <f t="shared" si="194"/>
        <v>11326478.689999999</v>
      </c>
      <c r="AH138" s="28" t="s">
        <v>1125</v>
      </c>
      <c r="AI138" s="72" t="s">
        <v>214</v>
      </c>
      <c r="AJ138" s="29">
        <f>8122384.62+520669.77</f>
        <v>8643054.3900000006</v>
      </c>
      <c r="AK138" s="34">
        <v>0</v>
      </c>
    </row>
    <row r="139" spans="1:37" ht="157.5" x14ac:dyDescent="0.25">
      <c r="A139" s="5">
        <v>133</v>
      </c>
      <c r="B139" s="67">
        <v>118957</v>
      </c>
      <c r="C139" s="118">
        <v>5</v>
      </c>
      <c r="D139" s="2" t="s">
        <v>178</v>
      </c>
      <c r="E139" s="13" t="s">
        <v>165</v>
      </c>
      <c r="F139" s="210" t="s">
        <v>125</v>
      </c>
      <c r="G139" s="6" t="s">
        <v>46</v>
      </c>
      <c r="H139" s="6" t="s">
        <v>45</v>
      </c>
      <c r="I139" s="2" t="s">
        <v>200</v>
      </c>
      <c r="J139" s="3" t="s">
        <v>47</v>
      </c>
      <c r="K139" s="104">
        <v>42900</v>
      </c>
      <c r="L139" s="8">
        <v>43722</v>
      </c>
      <c r="M139" s="4">
        <f t="shared" si="218"/>
        <v>83.983862721834797</v>
      </c>
      <c r="N139" s="2" t="s">
        <v>155</v>
      </c>
      <c r="O139" s="2" t="s">
        <v>156</v>
      </c>
      <c r="P139" s="2" t="s">
        <v>156</v>
      </c>
      <c r="Q139" s="18" t="s">
        <v>157</v>
      </c>
      <c r="R139" s="2" t="s">
        <v>36</v>
      </c>
      <c r="S139" s="25">
        <f>T139+U139</f>
        <v>4555318.1900000004</v>
      </c>
      <c r="T139" s="25">
        <v>3673467.24</v>
      </c>
      <c r="U139" s="25">
        <v>881850.95</v>
      </c>
      <c r="V139" s="25">
        <f t="shared" si="219"/>
        <v>0</v>
      </c>
      <c r="W139" s="25">
        <v>0</v>
      </c>
      <c r="X139" s="25">
        <v>0</v>
      </c>
      <c r="Y139" s="25">
        <f t="shared" si="221"/>
        <v>868721.67</v>
      </c>
      <c r="Z139" s="25">
        <v>648258.93000000005</v>
      </c>
      <c r="AA139" s="25">
        <v>220462.74</v>
      </c>
      <c r="AB139" s="25">
        <f t="shared" si="191"/>
        <v>0</v>
      </c>
      <c r="AC139" s="25"/>
      <c r="AD139" s="25"/>
      <c r="AE139" s="25">
        <f t="shared" si="182"/>
        <v>5424039.8600000003</v>
      </c>
      <c r="AF139" s="25">
        <v>0</v>
      </c>
      <c r="AG139" s="25">
        <f t="shared" si="194"/>
        <v>5424039.8600000003</v>
      </c>
      <c r="AH139" s="28" t="s">
        <v>627</v>
      </c>
      <c r="AI139" s="41" t="s">
        <v>187</v>
      </c>
      <c r="AJ139" s="29">
        <v>2210161.75</v>
      </c>
      <c r="AK139" s="34">
        <v>0</v>
      </c>
    </row>
    <row r="140" spans="1:37" ht="157.5" x14ac:dyDescent="0.25">
      <c r="A140" s="2">
        <v>134</v>
      </c>
      <c r="B140" s="67">
        <v>118448</v>
      </c>
      <c r="C140" s="118">
        <v>6</v>
      </c>
      <c r="D140" s="2" t="s">
        <v>173</v>
      </c>
      <c r="E140" s="13" t="s">
        <v>165</v>
      </c>
      <c r="F140" s="210" t="s">
        <v>125</v>
      </c>
      <c r="G140" s="6" t="s">
        <v>49</v>
      </c>
      <c r="H140" s="6" t="s">
        <v>48</v>
      </c>
      <c r="I140" s="2" t="s">
        <v>187</v>
      </c>
      <c r="J140" s="3" t="s">
        <v>50</v>
      </c>
      <c r="K140" s="104">
        <v>42458</v>
      </c>
      <c r="L140" s="8">
        <v>43553</v>
      </c>
      <c r="M140" s="4">
        <f t="shared" si="218"/>
        <v>83.983862836271243</v>
      </c>
      <c r="N140" s="2" t="s">
        <v>155</v>
      </c>
      <c r="O140" s="2" t="s">
        <v>156</v>
      </c>
      <c r="P140" s="2" t="s">
        <v>156</v>
      </c>
      <c r="Q140" s="18" t="s">
        <v>157</v>
      </c>
      <c r="R140" s="2" t="s">
        <v>36</v>
      </c>
      <c r="S140" s="25">
        <f t="shared" si="220"/>
        <v>15492558.379999999</v>
      </c>
      <c r="T140" s="25">
        <v>12493398.539999999</v>
      </c>
      <c r="U140" s="25">
        <v>2999159.84</v>
      </c>
      <c r="V140" s="25">
        <f t="shared" si="219"/>
        <v>0</v>
      </c>
      <c r="W140" s="25">
        <v>0</v>
      </c>
      <c r="X140" s="25">
        <v>0</v>
      </c>
      <c r="Y140" s="25">
        <f t="shared" si="221"/>
        <v>2954507.35</v>
      </c>
      <c r="Z140" s="25">
        <v>2204717.39</v>
      </c>
      <c r="AA140" s="25">
        <v>749789.96</v>
      </c>
      <c r="AB140" s="25">
        <f t="shared" si="191"/>
        <v>0</v>
      </c>
      <c r="AC140" s="25"/>
      <c r="AD140" s="25"/>
      <c r="AE140" s="25">
        <f t="shared" si="182"/>
        <v>18447065.73</v>
      </c>
      <c r="AF140" s="25">
        <v>0</v>
      </c>
      <c r="AG140" s="25">
        <f t="shared" si="194"/>
        <v>18447065.73</v>
      </c>
      <c r="AH140" s="28" t="s">
        <v>627</v>
      </c>
      <c r="AI140" s="72" t="s">
        <v>193</v>
      </c>
      <c r="AJ140" s="29">
        <v>9840778.7300000004</v>
      </c>
      <c r="AK140" s="34">
        <v>0</v>
      </c>
    </row>
    <row r="141" spans="1:37" ht="141.75" x14ac:dyDescent="0.25">
      <c r="A141" s="5">
        <v>135</v>
      </c>
      <c r="B141" s="67">
        <v>118575</v>
      </c>
      <c r="C141" s="118">
        <v>7</v>
      </c>
      <c r="D141" s="2" t="s">
        <v>175</v>
      </c>
      <c r="E141" s="13" t="s">
        <v>165</v>
      </c>
      <c r="F141" s="210" t="s">
        <v>125</v>
      </c>
      <c r="G141" s="6" t="s">
        <v>52</v>
      </c>
      <c r="H141" s="6" t="s">
        <v>51</v>
      </c>
      <c r="I141" s="2" t="s">
        <v>187</v>
      </c>
      <c r="J141" s="3" t="s">
        <v>53</v>
      </c>
      <c r="K141" s="104">
        <v>42592</v>
      </c>
      <c r="L141" s="8">
        <v>43687</v>
      </c>
      <c r="M141" s="4">
        <f t="shared" si="218"/>
        <v>83.983862823517285</v>
      </c>
      <c r="N141" s="2" t="s">
        <v>155</v>
      </c>
      <c r="O141" s="2" t="s">
        <v>156</v>
      </c>
      <c r="P141" s="2" t="s">
        <v>156</v>
      </c>
      <c r="Q141" s="18" t="s">
        <v>157</v>
      </c>
      <c r="R141" s="2" t="s">
        <v>36</v>
      </c>
      <c r="S141" s="25">
        <f t="shared" si="220"/>
        <v>8244072.25</v>
      </c>
      <c r="T141" s="25">
        <v>6648126</v>
      </c>
      <c r="U141" s="25">
        <v>1595946.25</v>
      </c>
      <c r="V141" s="25">
        <f t="shared" si="219"/>
        <v>0</v>
      </c>
      <c r="W141" s="25">
        <v>0</v>
      </c>
      <c r="X141" s="25">
        <v>0</v>
      </c>
      <c r="Y141" s="25">
        <f t="shared" si="221"/>
        <v>1572185.27</v>
      </c>
      <c r="Z141" s="25">
        <v>1173198.71</v>
      </c>
      <c r="AA141" s="25">
        <v>398986.56</v>
      </c>
      <c r="AB141" s="25">
        <f t="shared" si="191"/>
        <v>0</v>
      </c>
      <c r="AC141" s="25"/>
      <c r="AD141" s="25"/>
      <c r="AE141" s="25">
        <f t="shared" si="182"/>
        <v>9816257.5199999996</v>
      </c>
      <c r="AF141" s="25">
        <v>0</v>
      </c>
      <c r="AG141" s="25">
        <f t="shared" si="194"/>
        <v>9816257.5199999996</v>
      </c>
      <c r="AH141" s="28" t="s">
        <v>627</v>
      </c>
      <c r="AI141" s="72" t="s">
        <v>1269</v>
      </c>
      <c r="AJ141" s="29">
        <v>2263203.63</v>
      </c>
      <c r="AK141" s="34">
        <v>0</v>
      </c>
    </row>
    <row r="142" spans="1:37" ht="252" x14ac:dyDescent="0.25">
      <c r="A142" s="5">
        <v>136</v>
      </c>
      <c r="B142" s="67">
        <v>122100</v>
      </c>
      <c r="C142" s="118">
        <v>8</v>
      </c>
      <c r="D142" s="2" t="s">
        <v>176</v>
      </c>
      <c r="E142" s="13" t="s">
        <v>165</v>
      </c>
      <c r="F142" s="210" t="s">
        <v>125</v>
      </c>
      <c r="G142" s="6" t="s">
        <v>55</v>
      </c>
      <c r="H142" s="6" t="s">
        <v>54</v>
      </c>
      <c r="I142" s="2" t="s">
        <v>187</v>
      </c>
      <c r="J142" s="3" t="s">
        <v>56</v>
      </c>
      <c r="K142" s="104">
        <v>42661</v>
      </c>
      <c r="L142" s="8">
        <v>43573</v>
      </c>
      <c r="M142" s="4">
        <f t="shared" si="218"/>
        <v>83.983862943976007</v>
      </c>
      <c r="N142" s="2" t="s">
        <v>155</v>
      </c>
      <c r="O142" s="2" t="s">
        <v>156</v>
      </c>
      <c r="P142" s="2" t="s">
        <v>156</v>
      </c>
      <c r="Q142" s="18" t="s">
        <v>157</v>
      </c>
      <c r="R142" s="2" t="s">
        <v>36</v>
      </c>
      <c r="S142" s="25">
        <f t="shared" si="220"/>
        <v>1681184.87</v>
      </c>
      <c r="T142" s="25">
        <v>1355729.12</v>
      </c>
      <c r="U142" s="25">
        <v>325455.75</v>
      </c>
      <c r="V142" s="25">
        <f t="shared" si="219"/>
        <v>0</v>
      </c>
      <c r="W142" s="25">
        <v>0</v>
      </c>
      <c r="X142" s="25">
        <v>0</v>
      </c>
      <c r="Y142" s="25">
        <f t="shared" si="221"/>
        <v>320610.25</v>
      </c>
      <c r="Z142" s="25">
        <v>239246.31</v>
      </c>
      <c r="AA142" s="25">
        <v>81363.94</v>
      </c>
      <c r="AB142" s="25">
        <f t="shared" si="191"/>
        <v>0</v>
      </c>
      <c r="AC142" s="25"/>
      <c r="AD142" s="25"/>
      <c r="AE142" s="25">
        <f t="shared" si="182"/>
        <v>2001795.12</v>
      </c>
      <c r="AF142" s="25">
        <v>0</v>
      </c>
      <c r="AG142" s="25">
        <f t="shared" si="194"/>
        <v>2001795.12</v>
      </c>
      <c r="AH142" s="28" t="s">
        <v>627</v>
      </c>
      <c r="AI142" s="72" t="s">
        <v>489</v>
      </c>
      <c r="AJ142" s="29">
        <v>258033.64</v>
      </c>
      <c r="AK142" s="34">
        <v>0</v>
      </c>
    </row>
    <row r="143" spans="1:37" ht="173.25" x14ac:dyDescent="0.25">
      <c r="A143" s="2">
        <v>137</v>
      </c>
      <c r="B143" s="67">
        <v>120313</v>
      </c>
      <c r="C143" s="118">
        <v>9</v>
      </c>
      <c r="D143" s="2" t="s">
        <v>168</v>
      </c>
      <c r="E143" s="13" t="s">
        <v>165</v>
      </c>
      <c r="F143" s="210" t="s">
        <v>125</v>
      </c>
      <c r="G143" s="6" t="s">
        <v>57</v>
      </c>
      <c r="H143" s="6" t="s">
        <v>363</v>
      </c>
      <c r="I143" s="2" t="s">
        <v>204</v>
      </c>
      <c r="J143" s="3" t="s">
        <v>58</v>
      </c>
      <c r="K143" s="104">
        <v>42446</v>
      </c>
      <c r="L143" s="8">
        <v>43541</v>
      </c>
      <c r="M143" s="4">
        <f t="shared" si="218"/>
        <v>83.983862848864632</v>
      </c>
      <c r="N143" s="2" t="s">
        <v>155</v>
      </c>
      <c r="O143" s="2" t="s">
        <v>156</v>
      </c>
      <c r="P143" s="2" t="s">
        <v>156</v>
      </c>
      <c r="Q143" s="18" t="s">
        <v>157</v>
      </c>
      <c r="R143" s="2" t="s">
        <v>36</v>
      </c>
      <c r="S143" s="25">
        <f>T143+U143</f>
        <v>30189820.119999997</v>
      </c>
      <c r="T143" s="25">
        <v>24345459.629999999</v>
      </c>
      <c r="U143" s="25">
        <v>5844360.4900000002</v>
      </c>
      <c r="V143" s="25">
        <v>1966327.81</v>
      </c>
      <c r="W143" s="25">
        <v>1453132.81</v>
      </c>
      <c r="X143" s="25">
        <v>513195</v>
      </c>
      <c r="Y143" s="25">
        <f t="shared" si="221"/>
        <v>3791019.8899999997</v>
      </c>
      <c r="Z143" s="25">
        <v>2843124.76</v>
      </c>
      <c r="AA143" s="25">
        <v>947895.13</v>
      </c>
      <c r="AB143" s="25">
        <f t="shared" si="191"/>
        <v>0</v>
      </c>
      <c r="AC143" s="25"/>
      <c r="AD143" s="25"/>
      <c r="AE143" s="25">
        <f t="shared" si="182"/>
        <v>35947167.819999993</v>
      </c>
      <c r="AF143" s="25">
        <v>0</v>
      </c>
      <c r="AG143" s="25">
        <f t="shared" si="194"/>
        <v>35947167.819999993</v>
      </c>
      <c r="AH143" s="28" t="s">
        <v>627</v>
      </c>
      <c r="AI143" s="72" t="s">
        <v>498</v>
      </c>
      <c r="AJ143" s="29">
        <f>25165624.15-64.26</f>
        <v>25165559.889999997</v>
      </c>
      <c r="AK143" s="34">
        <f>1447911.57-64.26</f>
        <v>1447847.31</v>
      </c>
    </row>
    <row r="144" spans="1:37" ht="346.5" x14ac:dyDescent="0.25">
      <c r="A144" s="5">
        <v>138</v>
      </c>
      <c r="B144" s="67">
        <v>121644</v>
      </c>
      <c r="C144" s="118">
        <v>10</v>
      </c>
      <c r="D144" s="2" t="s">
        <v>176</v>
      </c>
      <c r="E144" s="13" t="s">
        <v>165</v>
      </c>
      <c r="F144" s="210" t="s">
        <v>125</v>
      </c>
      <c r="G144" s="6" t="s">
        <v>59</v>
      </c>
      <c r="H144" s="6" t="s">
        <v>54</v>
      </c>
      <c r="I144" s="2" t="s">
        <v>187</v>
      </c>
      <c r="J144" s="3" t="s">
        <v>60</v>
      </c>
      <c r="K144" s="104">
        <v>42538</v>
      </c>
      <c r="L144" s="8">
        <v>43298</v>
      </c>
      <c r="M144" s="4">
        <f t="shared" si="218"/>
        <v>83.983862739322618</v>
      </c>
      <c r="N144" s="2" t="s">
        <v>155</v>
      </c>
      <c r="O144" s="2" t="s">
        <v>156</v>
      </c>
      <c r="P144" s="2" t="s">
        <v>156</v>
      </c>
      <c r="Q144" s="18" t="s">
        <v>157</v>
      </c>
      <c r="R144" s="2" t="s">
        <v>36</v>
      </c>
      <c r="S144" s="25">
        <f t="shared" si="220"/>
        <v>2777962.48</v>
      </c>
      <c r="T144" s="25">
        <v>2240184.71</v>
      </c>
      <c r="U144" s="25">
        <v>537777.77</v>
      </c>
      <c r="V144" s="25">
        <f t="shared" si="219"/>
        <v>0</v>
      </c>
      <c r="W144" s="25">
        <v>0</v>
      </c>
      <c r="X144" s="25">
        <v>0</v>
      </c>
      <c r="Y144" s="25">
        <f t="shared" si="221"/>
        <v>529771.16</v>
      </c>
      <c r="Z144" s="25">
        <v>395326.72000000003</v>
      </c>
      <c r="AA144" s="25">
        <v>134444.44</v>
      </c>
      <c r="AB144" s="25">
        <f t="shared" si="191"/>
        <v>0</v>
      </c>
      <c r="AC144" s="25"/>
      <c r="AD144" s="25"/>
      <c r="AE144" s="25">
        <f t="shared" si="182"/>
        <v>3307733.64</v>
      </c>
      <c r="AF144" s="25">
        <v>192499.20000000001</v>
      </c>
      <c r="AG144" s="25">
        <f t="shared" si="194"/>
        <v>3500232.8400000003</v>
      </c>
      <c r="AH144" s="28" t="s">
        <v>1125</v>
      </c>
      <c r="AI144" s="72" t="s">
        <v>270</v>
      </c>
      <c r="AJ144" s="29">
        <v>2635526.38</v>
      </c>
      <c r="AK144" s="34">
        <v>0</v>
      </c>
    </row>
    <row r="145" spans="1:37" ht="299.25" x14ac:dyDescent="0.25">
      <c r="A145" s="5">
        <v>139</v>
      </c>
      <c r="B145" s="67">
        <v>118305</v>
      </c>
      <c r="C145" s="118">
        <v>11</v>
      </c>
      <c r="D145" s="2" t="s">
        <v>168</v>
      </c>
      <c r="E145" s="13" t="s">
        <v>165</v>
      </c>
      <c r="F145" s="210" t="s">
        <v>125</v>
      </c>
      <c r="G145" s="6" t="s">
        <v>62</v>
      </c>
      <c r="H145" s="6" t="s">
        <v>61</v>
      </c>
      <c r="I145" s="2" t="s">
        <v>204</v>
      </c>
      <c r="J145" s="3" t="s">
        <v>63</v>
      </c>
      <c r="K145" s="104">
        <v>42467</v>
      </c>
      <c r="L145" s="8">
        <v>43562</v>
      </c>
      <c r="M145" s="4">
        <f t="shared" si="218"/>
        <v>83.98386392846011</v>
      </c>
      <c r="N145" s="2" t="s">
        <v>155</v>
      </c>
      <c r="O145" s="2" t="s">
        <v>156</v>
      </c>
      <c r="P145" s="2" t="s">
        <v>156</v>
      </c>
      <c r="Q145" s="18" t="s">
        <v>157</v>
      </c>
      <c r="R145" s="2" t="s">
        <v>36</v>
      </c>
      <c r="S145" s="25">
        <f t="shared" si="220"/>
        <v>13566063.25</v>
      </c>
      <c r="T145" s="25">
        <v>10939848.08</v>
      </c>
      <c r="U145" s="25">
        <v>2626215.17</v>
      </c>
      <c r="V145" s="25">
        <f t="shared" si="219"/>
        <v>0</v>
      </c>
      <c r="W145" s="25">
        <v>0</v>
      </c>
      <c r="X145" s="25">
        <v>0</v>
      </c>
      <c r="Y145" s="25">
        <f t="shared" si="221"/>
        <v>2587115.0099999998</v>
      </c>
      <c r="Z145" s="25">
        <v>1930561.24</v>
      </c>
      <c r="AA145" s="25">
        <v>656553.77</v>
      </c>
      <c r="AB145" s="25">
        <f t="shared" ref="AB145:AB200" si="222">AC145+AD145</f>
        <v>0</v>
      </c>
      <c r="AC145" s="25">
        <v>0</v>
      </c>
      <c r="AD145" s="25">
        <v>0</v>
      </c>
      <c r="AE145" s="25">
        <f t="shared" si="182"/>
        <v>16153178.26</v>
      </c>
      <c r="AF145" s="25">
        <v>0</v>
      </c>
      <c r="AG145" s="25">
        <f t="shared" si="194"/>
        <v>16153178.26</v>
      </c>
      <c r="AH145" s="28" t="s">
        <v>627</v>
      </c>
      <c r="AI145" s="72" t="s">
        <v>1159</v>
      </c>
      <c r="AJ145" s="29">
        <v>10642106.1</v>
      </c>
      <c r="AK145" s="34">
        <v>0</v>
      </c>
    </row>
    <row r="146" spans="1:37" ht="173.25" x14ac:dyDescent="0.25">
      <c r="A146" s="2">
        <v>140</v>
      </c>
      <c r="B146" s="67">
        <v>118349</v>
      </c>
      <c r="C146" s="118">
        <v>13</v>
      </c>
      <c r="D146" s="2" t="s">
        <v>174</v>
      </c>
      <c r="E146" s="13" t="s">
        <v>165</v>
      </c>
      <c r="F146" s="210" t="s">
        <v>125</v>
      </c>
      <c r="G146" s="6" t="s">
        <v>65</v>
      </c>
      <c r="H146" s="6" t="s">
        <v>64</v>
      </c>
      <c r="I146" s="2" t="s">
        <v>200</v>
      </c>
      <c r="J146" s="3" t="s">
        <v>66</v>
      </c>
      <c r="K146" s="104">
        <v>42663</v>
      </c>
      <c r="L146" s="8">
        <v>43758</v>
      </c>
      <c r="M146" s="4">
        <f t="shared" si="218"/>
        <v>83.983862845432327</v>
      </c>
      <c r="N146" s="2" t="s">
        <v>155</v>
      </c>
      <c r="O146" s="2" t="s">
        <v>156</v>
      </c>
      <c r="P146" s="2" t="s">
        <v>156</v>
      </c>
      <c r="Q146" s="18" t="s">
        <v>157</v>
      </c>
      <c r="R146" s="2" t="s">
        <v>36</v>
      </c>
      <c r="S146" s="25">
        <f t="shared" si="220"/>
        <v>9782795.4699999988</v>
      </c>
      <c r="T146" s="25">
        <v>7888972.2199999997</v>
      </c>
      <c r="U146" s="25">
        <v>1893823.25</v>
      </c>
      <c r="V146" s="25">
        <f t="shared" si="219"/>
        <v>0</v>
      </c>
      <c r="W146" s="25">
        <v>0</v>
      </c>
      <c r="X146" s="25">
        <v>0</v>
      </c>
      <c r="Y146" s="25">
        <f t="shared" si="221"/>
        <v>1865627.3800000001</v>
      </c>
      <c r="Z146" s="25">
        <v>1392171.57</v>
      </c>
      <c r="AA146" s="25">
        <v>473455.81</v>
      </c>
      <c r="AB146" s="25">
        <f t="shared" si="222"/>
        <v>0</v>
      </c>
      <c r="AC146" s="25"/>
      <c r="AD146" s="25"/>
      <c r="AE146" s="25">
        <f t="shared" si="182"/>
        <v>11648422.85</v>
      </c>
      <c r="AF146" s="25">
        <v>0</v>
      </c>
      <c r="AG146" s="25">
        <f t="shared" si="194"/>
        <v>11648422.85</v>
      </c>
      <c r="AH146" s="28" t="s">
        <v>627</v>
      </c>
      <c r="AI146" s="72" t="s">
        <v>191</v>
      </c>
      <c r="AJ146" s="29">
        <v>1581295.57</v>
      </c>
      <c r="AK146" s="34">
        <v>0</v>
      </c>
    </row>
    <row r="147" spans="1:37" ht="141.75" x14ac:dyDescent="0.25">
      <c r="A147" s="5">
        <v>141</v>
      </c>
      <c r="B147" s="67">
        <v>118894</v>
      </c>
      <c r="C147" s="118">
        <v>15</v>
      </c>
      <c r="D147" s="2" t="s">
        <v>175</v>
      </c>
      <c r="E147" s="13" t="s">
        <v>165</v>
      </c>
      <c r="F147" s="210" t="s">
        <v>125</v>
      </c>
      <c r="G147" s="6" t="s">
        <v>68</v>
      </c>
      <c r="H147" s="6" t="s">
        <v>67</v>
      </c>
      <c r="I147" s="2" t="s">
        <v>187</v>
      </c>
      <c r="J147" s="3" t="s">
        <v>69</v>
      </c>
      <c r="K147" s="104">
        <v>42717</v>
      </c>
      <c r="L147" s="8">
        <v>43812</v>
      </c>
      <c r="M147" s="4">
        <f t="shared" si="218"/>
        <v>83.983863051796376</v>
      </c>
      <c r="N147" s="2" t="s">
        <v>155</v>
      </c>
      <c r="O147" s="2" t="s">
        <v>156</v>
      </c>
      <c r="P147" s="2" t="s">
        <v>156</v>
      </c>
      <c r="Q147" s="18" t="s">
        <v>157</v>
      </c>
      <c r="R147" s="2" t="s">
        <v>36</v>
      </c>
      <c r="S147" s="25">
        <f t="shared" si="220"/>
        <v>2106832.29</v>
      </c>
      <c r="T147" s="25">
        <v>1698976.68</v>
      </c>
      <c r="U147" s="25">
        <v>407855.61</v>
      </c>
      <c r="V147" s="25">
        <f t="shared" si="219"/>
        <v>0</v>
      </c>
      <c r="W147" s="25">
        <v>0</v>
      </c>
      <c r="X147" s="25">
        <v>0</v>
      </c>
      <c r="Y147" s="25">
        <f t="shared" si="221"/>
        <v>401783.30999999994</v>
      </c>
      <c r="Z147" s="25">
        <v>299819.40999999997</v>
      </c>
      <c r="AA147" s="25">
        <v>101963.9</v>
      </c>
      <c r="AB147" s="25">
        <f t="shared" si="222"/>
        <v>0</v>
      </c>
      <c r="AC147" s="25"/>
      <c r="AD147" s="25"/>
      <c r="AE147" s="25">
        <f t="shared" si="182"/>
        <v>2508615.6</v>
      </c>
      <c r="AF147" s="25">
        <v>154711.20000000001</v>
      </c>
      <c r="AG147" s="25">
        <f t="shared" si="194"/>
        <v>2663326.8000000003</v>
      </c>
      <c r="AH147" s="28" t="s">
        <v>627</v>
      </c>
      <c r="AI147" s="72" t="s">
        <v>1150</v>
      </c>
      <c r="AJ147" s="29">
        <v>100211.1</v>
      </c>
      <c r="AK147" s="34">
        <v>0</v>
      </c>
    </row>
    <row r="148" spans="1:37" ht="236.25" x14ac:dyDescent="0.25">
      <c r="A148" s="5">
        <v>142</v>
      </c>
      <c r="B148" s="67">
        <v>117846</v>
      </c>
      <c r="C148" s="118">
        <v>16</v>
      </c>
      <c r="D148" s="23" t="s">
        <v>173</v>
      </c>
      <c r="E148" s="13" t="s">
        <v>165</v>
      </c>
      <c r="F148" s="210" t="s">
        <v>125</v>
      </c>
      <c r="G148" s="6" t="s">
        <v>126</v>
      </c>
      <c r="H148" s="6" t="s">
        <v>124</v>
      </c>
      <c r="I148" s="2" t="s">
        <v>206</v>
      </c>
      <c r="J148" s="3" t="s">
        <v>127</v>
      </c>
      <c r="K148" s="104">
        <v>42884</v>
      </c>
      <c r="L148" s="8">
        <v>43980</v>
      </c>
      <c r="M148" s="4">
        <f t="shared" si="218"/>
        <v>83.983862818994993</v>
      </c>
      <c r="N148" s="2" t="s">
        <v>155</v>
      </c>
      <c r="O148" s="2" t="s">
        <v>156</v>
      </c>
      <c r="P148" s="2" t="s">
        <v>156</v>
      </c>
      <c r="Q148" s="18" t="s">
        <v>157</v>
      </c>
      <c r="R148" s="2" t="s">
        <v>36</v>
      </c>
      <c r="S148" s="25">
        <f t="shared" si="220"/>
        <v>14853565.879999999</v>
      </c>
      <c r="T148" s="25">
        <v>11978106.76</v>
      </c>
      <c r="U148" s="25">
        <v>2875459.12</v>
      </c>
      <c r="V148" s="25">
        <f t="shared" si="219"/>
        <v>0</v>
      </c>
      <c r="W148" s="25">
        <v>0</v>
      </c>
      <c r="X148" s="25">
        <v>0</v>
      </c>
      <c r="Y148" s="25">
        <f t="shared" si="221"/>
        <v>2832648.33</v>
      </c>
      <c r="Z148" s="25">
        <v>2113783.5499999998</v>
      </c>
      <c r="AA148" s="25">
        <v>718864.78</v>
      </c>
      <c r="AB148" s="25">
        <f t="shared" si="222"/>
        <v>0</v>
      </c>
      <c r="AC148" s="25"/>
      <c r="AD148" s="25"/>
      <c r="AE148" s="25">
        <f t="shared" si="182"/>
        <v>17686214.210000001</v>
      </c>
      <c r="AF148" s="25">
        <v>0</v>
      </c>
      <c r="AG148" s="25">
        <f t="shared" si="194"/>
        <v>17686214.210000001</v>
      </c>
      <c r="AH148" s="28" t="s">
        <v>627</v>
      </c>
      <c r="AI148" s="41" t="s">
        <v>421</v>
      </c>
      <c r="AJ148" s="29">
        <v>2532656.9500000002</v>
      </c>
      <c r="AK148" s="34">
        <v>0</v>
      </c>
    </row>
    <row r="149" spans="1:37" ht="157.5" x14ac:dyDescent="0.25">
      <c r="A149" s="2">
        <v>143</v>
      </c>
      <c r="B149" s="67">
        <v>117841</v>
      </c>
      <c r="C149" s="118">
        <v>17</v>
      </c>
      <c r="D149" s="2" t="s">
        <v>174</v>
      </c>
      <c r="E149" s="13" t="s">
        <v>165</v>
      </c>
      <c r="F149" s="210" t="s">
        <v>125</v>
      </c>
      <c r="G149" s="6" t="s">
        <v>71</v>
      </c>
      <c r="H149" s="6" t="s">
        <v>70</v>
      </c>
      <c r="I149" s="2" t="s">
        <v>187</v>
      </c>
      <c r="J149" s="3" t="s">
        <v>719</v>
      </c>
      <c r="K149" s="104">
        <v>42482</v>
      </c>
      <c r="L149" s="8">
        <v>43760</v>
      </c>
      <c r="M149" s="4">
        <f t="shared" si="218"/>
        <v>83.983862907570995</v>
      </c>
      <c r="N149" s="2" t="s">
        <v>155</v>
      </c>
      <c r="O149" s="2" t="s">
        <v>156</v>
      </c>
      <c r="P149" s="2" t="s">
        <v>156</v>
      </c>
      <c r="Q149" s="18" t="s">
        <v>157</v>
      </c>
      <c r="R149" s="2" t="s">
        <v>36</v>
      </c>
      <c r="S149" s="25">
        <f t="shared" si="220"/>
        <v>9778588.4399999995</v>
      </c>
      <c r="T149" s="25">
        <v>7885579.6299999999</v>
      </c>
      <c r="U149" s="25">
        <v>1893008.81</v>
      </c>
      <c r="V149" s="25">
        <f t="shared" si="219"/>
        <v>0</v>
      </c>
      <c r="W149" s="25">
        <v>0</v>
      </c>
      <c r="X149" s="25">
        <v>0</v>
      </c>
      <c r="Y149" s="25">
        <f t="shared" si="221"/>
        <v>1864825.07</v>
      </c>
      <c r="Z149" s="25">
        <v>1391572.85</v>
      </c>
      <c r="AA149" s="25">
        <v>473252.22</v>
      </c>
      <c r="AB149" s="25">
        <f t="shared" si="222"/>
        <v>0</v>
      </c>
      <c r="AC149" s="25"/>
      <c r="AD149" s="25"/>
      <c r="AE149" s="25">
        <f t="shared" ref="AE149:AE213" si="223">S149+V149+Y149+AB149</f>
        <v>11643413.51</v>
      </c>
      <c r="AF149" s="25">
        <v>0</v>
      </c>
      <c r="AG149" s="25">
        <f t="shared" si="194"/>
        <v>11643413.51</v>
      </c>
      <c r="AH149" s="28" t="s">
        <v>627</v>
      </c>
      <c r="AI149" s="72" t="s">
        <v>718</v>
      </c>
      <c r="AJ149" s="29">
        <v>4914766.6399999997</v>
      </c>
      <c r="AK149" s="34">
        <v>0</v>
      </c>
    </row>
    <row r="150" spans="1:37" ht="157.5" x14ac:dyDescent="0.25">
      <c r="A150" s="5">
        <v>144</v>
      </c>
      <c r="B150" s="67">
        <v>119195</v>
      </c>
      <c r="C150" s="118">
        <v>18</v>
      </c>
      <c r="D150" s="2" t="s">
        <v>171</v>
      </c>
      <c r="E150" s="13" t="s">
        <v>165</v>
      </c>
      <c r="F150" s="210" t="s">
        <v>125</v>
      </c>
      <c r="G150" s="6" t="s">
        <v>73</v>
      </c>
      <c r="H150" s="6" t="s">
        <v>72</v>
      </c>
      <c r="I150" s="2" t="s">
        <v>187</v>
      </c>
      <c r="J150" s="3" t="s">
        <v>74</v>
      </c>
      <c r="K150" s="104">
        <v>42464</v>
      </c>
      <c r="L150" s="8">
        <v>43500</v>
      </c>
      <c r="M150" s="4">
        <f t="shared" si="218"/>
        <v>83.983863126060598</v>
      </c>
      <c r="N150" s="2" t="s">
        <v>155</v>
      </c>
      <c r="O150" s="2" t="s">
        <v>156</v>
      </c>
      <c r="P150" s="2" t="s">
        <v>156</v>
      </c>
      <c r="Q150" s="18" t="s">
        <v>157</v>
      </c>
      <c r="R150" s="2" t="s">
        <v>36</v>
      </c>
      <c r="S150" s="25">
        <f t="shared" si="220"/>
        <v>3168878.46</v>
      </c>
      <c r="T150" s="25">
        <v>2555424.39</v>
      </c>
      <c r="U150" s="25">
        <v>613454.06999999995</v>
      </c>
      <c r="V150" s="25">
        <f t="shared" si="219"/>
        <v>0</v>
      </c>
      <c r="W150" s="25">
        <v>0</v>
      </c>
      <c r="X150" s="25">
        <v>0</v>
      </c>
      <c r="Y150" s="25">
        <f t="shared" si="221"/>
        <v>604320.75</v>
      </c>
      <c r="Z150" s="25">
        <v>450957.23</v>
      </c>
      <c r="AA150" s="25">
        <v>153363.51999999999</v>
      </c>
      <c r="AB150" s="25">
        <f t="shared" si="222"/>
        <v>0</v>
      </c>
      <c r="AC150" s="25">
        <v>0</v>
      </c>
      <c r="AD150" s="25">
        <v>0</v>
      </c>
      <c r="AE150" s="25">
        <f t="shared" si="223"/>
        <v>3773199.21</v>
      </c>
      <c r="AF150" s="25">
        <v>0</v>
      </c>
      <c r="AG150" s="25">
        <f t="shared" si="194"/>
        <v>3773199.21</v>
      </c>
      <c r="AH150" s="28" t="s">
        <v>627</v>
      </c>
      <c r="AI150" s="72" t="s">
        <v>807</v>
      </c>
      <c r="AJ150" s="29">
        <f>452513.95+76690.71+72953.42+173284.84</f>
        <v>775442.92</v>
      </c>
      <c r="AK150" s="34">
        <v>0</v>
      </c>
    </row>
    <row r="151" spans="1:37" ht="204.75" x14ac:dyDescent="0.25">
      <c r="A151" s="5">
        <v>145</v>
      </c>
      <c r="B151" s="67">
        <v>118157</v>
      </c>
      <c r="C151" s="118">
        <v>19</v>
      </c>
      <c r="D151" s="2" t="s">
        <v>168</v>
      </c>
      <c r="E151" s="13" t="s">
        <v>165</v>
      </c>
      <c r="F151" s="210" t="s">
        <v>125</v>
      </c>
      <c r="G151" s="6" t="s">
        <v>76</v>
      </c>
      <c r="H151" s="6" t="s">
        <v>75</v>
      </c>
      <c r="I151" s="2" t="s">
        <v>187</v>
      </c>
      <c r="J151" s="3" t="s">
        <v>77</v>
      </c>
      <c r="K151" s="104">
        <v>42446</v>
      </c>
      <c r="L151" s="8">
        <v>43541</v>
      </c>
      <c r="M151" s="4">
        <f t="shared" si="218"/>
        <v>83.983862865891041</v>
      </c>
      <c r="N151" s="2" t="s">
        <v>155</v>
      </c>
      <c r="O151" s="2" t="s">
        <v>156</v>
      </c>
      <c r="P151" s="2" t="s">
        <v>156</v>
      </c>
      <c r="Q151" s="18" t="s">
        <v>157</v>
      </c>
      <c r="R151" s="2" t="s">
        <v>36</v>
      </c>
      <c r="S151" s="25">
        <f t="shared" si="220"/>
        <v>3627735.48</v>
      </c>
      <c r="T151" s="25">
        <v>2925452.6</v>
      </c>
      <c r="U151" s="25">
        <v>702282.88</v>
      </c>
      <c r="V151" s="25">
        <f t="shared" si="219"/>
        <v>0</v>
      </c>
      <c r="W151" s="25">
        <v>0</v>
      </c>
      <c r="X151" s="25">
        <v>0</v>
      </c>
      <c r="Y151" s="25">
        <f t="shared" si="221"/>
        <v>691827.06</v>
      </c>
      <c r="Z151" s="25">
        <v>516256.34</v>
      </c>
      <c r="AA151" s="25">
        <v>175570.72</v>
      </c>
      <c r="AB151" s="25">
        <f t="shared" si="222"/>
        <v>0</v>
      </c>
      <c r="AC151" s="25"/>
      <c r="AD151" s="25"/>
      <c r="AE151" s="25">
        <f t="shared" si="223"/>
        <v>4319562.54</v>
      </c>
      <c r="AF151" s="25">
        <v>0</v>
      </c>
      <c r="AG151" s="25">
        <f t="shared" si="194"/>
        <v>4319562.54</v>
      </c>
      <c r="AH151" s="28" t="s">
        <v>627</v>
      </c>
      <c r="AI151" s="72" t="s">
        <v>761</v>
      </c>
      <c r="AJ151" s="29">
        <v>637411.23</v>
      </c>
      <c r="AK151" s="34">
        <v>0</v>
      </c>
    </row>
    <row r="152" spans="1:37" ht="141.75" x14ac:dyDescent="0.25">
      <c r="A152" s="2">
        <v>146</v>
      </c>
      <c r="B152" s="67">
        <v>119196</v>
      </c>
      <c r="C152" s="118">
        <v>20</v>
      </c>
      <c r="D152" s="2" t="s">
        <v>171</v>
      </c>
      <c r="E152" s="13" t="s">
        <v>165</v>
      </c>
      <c r="F152" s="210" t="s">
        <v>125</v>
      </c>
      <c r="G152" s="6" t="s">
        <v>78</v>
      </c>
      <c r="H152" s="6" t="s">
        <v>72</v>
      </c>
      <c r="I152" s="2" t="s">
        <v>208</v>
      </c>
      <c r="J152" s="3" t="s">
        <v>79</v>
      </c>
      <c r="K152" s="104">
        <v>42464</v>
      </c>
      <c r="L152" s="8">
        <v>43925</v>
      </c>
      <c r="M152" s="4">
        <f t="shared" si="218"/>
        <v>83.98386284004664</v>
      </c>
      <c r="N152" s="2" t="s">
        <v>155</v>
      </c>
      <c r="O152" s="2" t="s">
        <v>156</v>
      </c>
      <c r="P152" s="2" t="s">
        <v>156</v>
      </c>
      <c r="Q152" s="18" t="s">
        <v>157</v>
      </c>
      <c r="R152" s="2" t="s">
        <v>36</v>
      </c>
      <c r="S152" s="25">
        <f t="shared" si="220"/>
        <v>16139137.140000001</v>
      </c>
      <c r="T152" s="25">
        <v>13014807.98</v>
      </c>
      <c r="U152" s="25">
        <v>3124329.16</v>
      </c>
      <c r="V152" s="25">
        <f t="shared" si="219"/>
        <v>0</v>
      </c>
      <c r="W152" s="25">
        <v>0</v>
      </c>
      <c r="X152" s="25">
        <v>0</v>
      </c>
      <c r="Y152" s="25">
        <f t="shared" si="221"/>
        <v>3077813.11</v>
      </c>
      <c r="Z152" s="25">
        <v>2296730.8199999998</v>
      </c>
      <c r="AA152" s="25">
        <v>781082.29</v>
      </c>
      <c r="AB152" s="25">
        <f t="shared" si="222"/>
        <v>0</v>
      </c>
      <c r="AC152" s="25"/>
      <c r="AD152" s="25"/>
      <c r="AE152" s="25">
        <f t="shared" si="223"/>
        <v>19216950.25</v>
      </c>
      <c r="AF152" s="25">
        <v>0</v>
      </c>
      <c r="AG152" s="25">
        <f t="shared" si="194"/>
        <v>19216950.25</v>
      </c>
      <c r="AH152" s="28" t="s">
        <v>627</v>
      </c>
      <c r="AI152" s="72" t="s">
        <v>260</v>
      </c>
      <c r="AJ152" s="29">
        <f>770912.58+137660.46+105577.25</f>
        <v>1014150.2899999999</v>
      </c>
      <c r="AK152" s="34">
        <v>0</v>
      </c>
    </row>
    <row r="153" spans="1:37" ht="409.5" x14ac:dyDescent="0.25">
      <c r="A153" s="5">
        <v>147</v>
      </c>
      <c r="B153" s="67">
        <v>118158</v>
      </c>
      <c r="C153" s="118">
        <v>21</v>
      </c>
      <c r="D153" s="2" t="s">
        <v>168</v>
      </c>
      <c r="E153" s="13" t="s">
        <v>165</v>
      </c>
      <c r="F153" s="210" t="s">
        <v>125</v>
      </c>
      <c r="G153" s="6" t="s">
        <v>80</v>
      </c>
      <c r="H153" s="6" t="s">
        <v>75</v>
      </c>
      <c r="I153" s="2" t="s">
        <v>475</v>
      </c>
      <c r="J153" s="3" t="s">
        <v>81</v>
      </c>
      <c r="K153" s="104">
        <v>42516</v>
      </c>
      <c r="L153" s="8">
        <v>43611</v>
      </c>
      <c r="M153" s="4">
        <f t="shared" si="218"/>
        <v>83.983862895923082</v>
      </c>
      <c r="N153" s="2" t="s">
        <v>155</v>
      </c>
      <c r="O153" s="2" t="s">
        <v>156</v>
      </c>
      <c r="P153" s="2" t="s">
        <v>156</v>
      </c>
      <c r="Q153" s="18" t="s">
        <v>157</v>
      </c>
      <c r="R153" s="2" t="s">
        <v>36</v>
      </c>
      <c r="S153" s="25">
        <f t="shared" si="220"/>
        <v>11413787.699999999</v>
      </c>
      <c r="T153" s="25">
        <v>9204225.3699999992</v>
      </c>
      <c r="U153" s="25">
        <v>2209562.33</v>
      </c>
      <c r="V153" s="25">
        <f t="shared" si="219"/>
        <v>0</v>
      </c>
      <c r="W153" s="25">
        <v>0</v>
      </c>
      <c r="X153" s="25">
        <v>0</v>
      </c>
      <c r="Y153" s="25">
        <f t="shared" si="221"/>
        <v>2176665.64</v>
      </c>
      <c r="Z153" s="25">
        <v>1624275.04</v>
      </c>
      <c r="AA153" s="25">
        <v>552390.6</v>
      </c>
      <c r="AB153" s="25">
        <f t="shared" si="222"/>
        <v>0</v>
      </c>
      <c r="AC153" s="25"/>
      <c r="AD153" s="25"/>
      <c r="AE153" s="25">
        <f t="shared" si="223"/>
        <v>13590453.34</v>
      </c>
      <c r="AF153" s="25">
        <v>16355.96</v>
      </c>
      <c r="AG153" s="25">
        <f t="shared" si="194"/>
        <v>13606809.300000001</v>
      </c>
      <c r="AH153" s="28" t="s">
        <v>627</v>
      </c>
      <c r="AI153" s="72" t="s">
        <v>849</v>
      </c>
      <c r="AJ153" s="29">
        <v>7504368.7699999996</v>
      </c>
      <c r="AK153" s="34">
        <v>0</v>
      </c>
    </row>
    <row r="154" spans="1:37" ht="220.5" x14ac:dyDescent="0.25">
      <c r="A154" s="5">
        <v>148</v>
      </c>
      <c r="B154" s="67">
        <v>118159</v>
      </c>
      <c r="C154" s="118">
        <v>22</v>
      </c>
      <c r="D154" s="2" t="s">
        <v>177</v>
      </c>
      <c r="E154" s="13" t="s">
        <v>165</v>
      </c>
      <c r="F154" s="210" t="s">
        <v>125</v>
      </c>
      <c r="G154" s="6" t="s">
        <v>82</v>
      </c>
      <c r="H154" s="6" t="s">
        <v>75</v>
      </c>
      <c r="I154" s="2" t="s">
        <v>196</v>
      </c>
      <c r="J154" s="3" t="s">
        <v>83</v>
      </c>
      <c r="K154" s="104">
        <v>42446</v>
      </c>
      <c r="L154" s="8">
        <v>43176</v>
      </c>
      <c r="M154" s="4">
        <f t="shared" si="218"/>
        <v>83.983862881462997</v>
      </c>
      <c r="N154" s="2" t="s">
        <v>155</v>
      </c>
      <c r="O154" s="2" t="s">
        <v>156</v>
      </c>
      <c r="P154" s="2" t="s">
        <v>156</v>
      </c>
      <c r="Q154" s="18" t="s">
        <v>157</v>
      </c>
      <c r="R154" s="2" t="s">
        <v>36</v>
      </c>
      <c r="S154" s="25">
        <f t="shared" si="220"/>
        <v>13490539.449999999</v>
      </c>
      <c r="T154" s="25">
        <v>10878944.699999999</v>
      </c>
      <c r="U154" s="25">
        <v>2611594.75</v>
      </c>
      <c r="V154" s="25">
        <f t="shared" si="219"/>
        <v>0</v>
      </c>
      <c r="W154" s="25">
        <v>0</v>
      </c>
      <c r="X154" s="25">
        <v>0</v>
      </c>
      <c r="Y154" s="25">
        <f t="shared" si="221"/>
        <v>2572712.4500000002</v>
      </c>
      <c r="Z154" s="25">
        <v>1919813.76</v>
      </c>
      <c r="AA154" s="25">
        <v>652898.68999999994</v>
      </c>
      <c r="AB154" s="25">
        <f t="shared" si="222"/>
        <v>0</v>
      </c>
      <c r="AC154" s="25"/>
      <c r="AD154" s="25"/>
      <c r="AE154" s="25">
        <f t="shared" si="223"/>
        <v>16063251.899999999</v>
      </c>
      <c r="AF154" s="25">
        <v>0</v>
      </c>
      <c r="AG154" s="25">
        <f t="shared" si="194"/>
        <v>16063251.899999999</v>
      </c>
      <c r="AH154" s="28" t="s">
        <v>1125</v>
      </c>
      <c r="AI154" s="72" t="s">
        <v>212</v>
      </c>
      <c r="AJ154" s="29">
        <v>12372517.5</v>
      </c>
      <c r="AK154" s="34">
        <v>0</v>
      </c>
    </row>
    <row r="155" spans="1:37" ht="283.5" x14ac:dyDescent="0.25">
      <c r="A155" s="2">
        <v>149</v>
      </c>
      <c r="B155" s="67">
        <v>118427</v>
      </c>
      <c r="C155" s="118">
        <v>23</v>
      </c>
      <c r="D155" s="2" t="s">
        <v>172</v>
      </c>
      <c r="E155" s="13" t="s">
        <v>165</v>
      </c>
      <c r="F155" s="210" t="s">
        <v>125</v>
      </c>
      <c r="G155" s="6" t="s">
        <v>85</v>
      </c>
      <c r="H155" s="6" t="s">
        <v>84</v>
      </c>
      <c r="I155" s="2" t="s">
        <v>187</v>
      </c>
      <c r="J155" s="3" t="s">
        <v>86</v>
      </c>
      <c r="K155" s="104">
        <v>42459</v>
      </c>
      <c r="L155" s="8">
        <v>43524</v>
      </c>
      <c r="M155" s="4">
        <f t="shared" si="218"/>
        <v>83.983862871845758</v>
      </c>
      <c r="N155" s="2" t="s">
        <v>155</v>
      </c>
      <c r="O155" s="2" t="s">
        <v>156</v>
      </c>
      <c r="P155" s="2" t="s">
        <v>156</v>
      </c>
      <c r="Q155" s="18" t="s">
        <v>157</v>
      </c>
      <c r="R155" s="2" t="s">
        <v>36</v>
      </c>
      <c r="S155" s="25">
        <f t="shared" si="220"/>
        <v>6252507.04</v>
      </c>
      <c r="T155" s="25">
        <v>5042102.18</v>
      </c>
      <c r="U155" s="25">
        <v>1210404.8600000001</v>
      </c>
      <c r="V155" s="25">
        <f t="shared" si="219"/>
        <v>0</v>
      </c>
      <c r="W155" s="25">
        <v>0</v>
      </c>
      <c r="X155" s="25">
        <v>0</v>
      </c>
      <c r="Y155" s="25">
        <f t="shared" si="221"/>
        <v>1192383.95</v>
      </c>
      <c r="Z155" s="25">
        <v>889782.73</v>
      </c>
      <c r="AA155" s="25">
        <v>302601.21999999997</v>
      </c>
      <c r="AB155" s="25">
        <f t="shared" si="222"/>
        <v>0</v>
      </c>
      <c r="AC155" s="25"/>
      <c r="AD155" s="25"/>
      <c r="AE155" s="25">
        <f t="shared" si="223"/>
        <v>7444890.9900000002</v>
      </c>
      <c r="AF155" s="25">
        <v>0</v>
      </c>
      <c r="AG155" s="25">
        <f t="shared" si="194"/>
        <v>7444890.9900000002</v>
      </c>
      <c r="AH155" s="28" t="s">
        <v>627</v>
      </c>
      <c r="AI155" s="42" t="s">
        <v>749</v>
      </c>
      <c r="AJ155" s="29">
        <f>2818184.2+870614.52+48419.22</f>
        <v>3737217.9400000004</v>
      </c>
      <c r="AK155" s="34">
        <v>0</v>
      </c>
    </row>
    <row r="156" spans="1:37" ht="157.5" x14ac:dyDescent="0.25">
      <c r="A156" s="5">
        <v>150</v>
      </c>
      <c r="B156" s="67">
        <v>118584</v>
      </c>
      <c r="C156" s="118">
        <v>24</v>
      </c>
      <c r="D156" s="2" t="s">
        <v>170</v>
      </c>
      <c r="E156" s="13" t="s">
        <v>165</v>
      </c>
      <c r="F156" s="210" t="s">
        <v>125</v>
      </c>
      <c r="G156" s="6" t="s">
        <v>88</v>
      </c>
      <c r="H156" s="6" t="s">
        <v>87</v>
      </c>
      <c r="I156" s="2" t="s">
        <v>187</v>
      </c>
      <c r="J156" s="3" t="s">
        <v>89</v>
      </c>
      <c r="K156" s="104">
        <v>42454</v>
      </c>
      <c r="L156" s="8">
        <v>43490</v>
      </c>
      <c r="M156" s="4">
        <f t="shared" si="218"/>
        <v>83.983862869823341</v>
      </c>
      <c r="N156" s="2" t="s">
        <v>155</v>
      </c>
      <c r="O156" s="2" t="s">
        <v>156</v>
      </c>
      <c r="P156" s="2" t="s">
        <v>156</v>
      </c>
      <c r="Q156" s="18" t="s">
        <v>157</v>
      </c>
      <c r="R156" s="2" t="s">
        <v>36</v>
      </c>
      <c r="S156" s="25">
        <f t="shared" si="220"/>
        <v>2984368.02</v>
      </c>
      <c r="T156" s="25">
        <v>2406632.79</v>
      </c>
      <c r="U156" s="25">
        <v>577735.23</v>
      </c>
      <c r="V156" s="25">
        <f t="shared" si="219"/>
        <v>0</v>
      </c>
      <c r="W156" s="25">
        <v>0</v>
      </c>
      <c r="X156" s="25">
        <v>0</v>
      </c>
      <c r="Y156" s="25">
        <f t="shared" si="221"/>
        <v>569133.71</v>
      </c>
      <c r="Z156" s="25">
        <v>424699.9</v>
      </c>
      <c r="AA156" s="25">
        <v>144433.81</v>
      </c>
      <c r="AB156" s="25">
        <f t="shared" si="222"/>
        <v>0</v>
      </c>
      <c r="AC156" s="25"/>
      <c r="AD156" s="25"/>
      <c r="AE156" s="25">
        <f t="shared" si="223"/>
        <v>3553501.73</v>
      </c>
      <c r="AF156" s="25"/>
      <c r="AG156" s="25">
        <f t="shared" si="194"/>
        <v>3553501.73</v>
      </c>
      <c r="AH156" s="28" t="s">
        <v>627</v>
      </c>
      <c r="AI156" s="43" t="s">
        <v>186</v>
      </c>
      <c r="AJ156" s="29">
        <v>1046822.23</v>
      </c>
      <c r="AK156" s="34">
        <v>0</v>
      </c>
    </row>
    <row r="157" spans="1:37" ht="189" x14ac:dyDescent="0.25">
      <c r="A157" s="5">
        <v>151</v>
      </c>
      <c r="B157" s="67">
        <v>117835</v>
      </c>
      <c r="C157" s="118">
        <v>25</v>
      </c>
      <c r="D157" s="2" t="s">
        <v>172</v>
      </c>
      <c r="E157" s="13" t="s">
        <v>165</v>
      </c>
      <c r="F157" s="210" t="s">
        <v>125</v>
      </c>
      <c r="G157" s="6" t="s">
        <v>90</v>
      </c>
      <c r="H157" s="6" t="s">
        <v>84</v>
      </c>
      <c r="I157" s="2" t="s">
        <v>209</v>
      </c>
      <c r="J157" s="3" t="s">
        <v>91</v>
      </c>
      <c r="K157" s="104">
        <v>42459</v>
      </c>
      <c r="L157" s="8">
        <v>43464</v>
      </c>
      <c r="M157" s="4">
        <f t="shared" si="218"/>
        <v>83.983862877433253</v>
      </c>
      <c r="N157" s="2" t="s">
        <v>155</v>
      </c>
      <c r="O157" s="2" t="s">
        <v>156</v>
      </c>
      <c r="P157" s="2" t="s">
        <v>156</v>
      </c>
      <c r="Q157" s="18" t="s">
        <v>157</v>
      </c>
      <c r="R157" s="2" t="s">
        <v>36</v>
      </c>
      <c r="S157" s="25">
        <f t="shared" si="220"/>
        <v>11174376.890000001</v>
      </c>
      <c r="T157" s="25">
        <v>9011161.3900000006</v>
      </c>
      <c r="U157" s="25">
        <v>2163215.5</v>
      </c>
      <c r="V157" s="25">
        <f t="shared" si="219"/>
        <v>0</v>
      </c>
      <c r="W157" s="25">
        <v>0</v>
      </c>
      <c r="X157" s="25">
        <v>0</v>
      </c>
      <c r="Y157" s="25">
        <f t="shared" si="221"/>
        <v>2131008.8199999998</v>
      </c>
      <c r="Z157" s="25">
        <v>1590204.95</v>
      </c>
      <c r="AA157" s="25">
        <v>540803.87</v>
      </c>
      <c r="AB157" s="25">
        <f t="shared" si="222"/>
        <v>0</v>
      </c>
      <c r="AC157" s="25"/>
      <c r="AD157" s="25"/>
      <c r="AE157" s="25">
        <f t="shared" si="223"/>
        <v>13305385.710000001</v>
      </c>
      <c r="AF157" s="25">
        <v>0</v>
      </c>
      <c r="AG157" s="25">
        <f t="shared" si="194"/>
        <v>13305385.710000001</v>
      </c>
      <c r="AH157" s="28" t="s">
        <v>1125</v>
      </c>
      <c r="AI157" s="42" t="s">
        <v>1118</v>
      </c>
      <c r="AJ157" s="29">
        <v>11126144.5</v>
      </c>
      <c r="AK157" s="34">
        <v>0</v>
      </c>
    </row>
    <row r="158" spans="1:37" ht="220.5" x14ac:dyDescent="0.25">
      <c r="A158" s="2">
        <v>152</v>
      </c>
      <c r="B158" s="67">
        <v>118419</v>
      </c>
      <c r="C158" s="118">
        <v>26</v>
      </c>
      <c r="D158" s="2" t="s">
        <v>170</v>
      </c>
      <c r="E158" s="13" t="s">
        <v>165</v>
      </c>
      <c r="F158" s="210" t="s">
        <v>125</v>
      </c>
      <c r="G158" s="6" t="s">
        <v>92</v>
      </c>
      <c r="H158" s="6" t="s">
        <v>84</v>
      </c>
      <c r="I158" s="2" t="s">
        <v>187</v>
      </c>
      <c r="J158" s="3" t="s">
        <v>93</v>
      </c>
      <c r="K158" s="104">
        <v>42458</v>
      </c>
      <c r="L158" s="8">
        <v>43553</v>
      </c>
      <c r="M158" s="4">
        <f t="shared" si="218"/>
        <v>83.983862783018438</v>
      </c>
      <c r="N158" s="2" t="s">
        <v>155</v>
      </c>
      <c r="O158" s="2" t="s">
        <v>156</v>
      </c>
      <c r="P158" s="2" t="s">
        <v>156</v>
      </c>
      <c r="Q158" s="18" t="s">
        <v>157</v>
      </c>
      <c r="R158" s="2" t="s">
        <v>36</v>
      </c>
      <c r="S158" s="25">
        <f t="shared" si="220"/>
        <v>3637178.37</v>
      </c>
      <c r="T158" s="25">
        <v>2933067.47</v>
      </c>
      <c r="U158" s="25">
        <v>704110.9</v>
      </c>
      <c r="V158" s="25">
        <f t="shared" si="219"/>
        <v>0</v>
      </c>
      <c r="W158" s="25">
        <v>0</v>
      </c>
      <c r="X158" s="25">
        <v>0</v>
      </c>
      <c r="Y158" s="25">
        <f t="shared" si="221"/>
        <v>693627.87</v>
      </c>
      <c r="Z158" s="25">
        <v>517600.14</v>
      </c>
      <c r="AA158" s="25">
        <v>176027.73</v>
      </c>
      <c r="AB158" s="25">
        <f t="shared" si="222"/>
        <v>0</v>
      </c>
      <c r="AC158" s="25"/>
      <c r="AD158" s="25"/>
      <c r="AE158" s="25">
        <f t="shared" si="223"/>
        <v>4330806.24</v>
      </c>
      <c r="AF158" s="25">
        <v>0</v>
      </c>
      <c r="AG158" s="25">
        <f t="shared" si="194"/>
        <v>4330806.24</v>
      </c>
      <c r="AH158" s="28" t="s">
        <v>627</v>
      </c>
      <c r="AI158" s="43" t="s">
        <v>188</v>
      </c>
      <c r="AJ158" s="29">
        <v>2956760.5</v>
      </c>
      <c r="AK158" s="34">
        <v>0</v>
      </c>
    </row>
    <row r="159" spans="1:37" ht="299.25" x14ac:dyDescent="0.25">
      <c r="A159" s="5">
        <v>153</v>
      </c>
      <c r="B159" s="67">
        <v>118319</v>
      </c>
      <c r="C159" s="118">
        <v>27</v>
      </c>
      <c r="D159" s="2" t="s">
        <v>174</v>
      </c>
      <c r="E159" s="13" t="s">
        <v>165</v>
      </c>
      <c r="F159" s="210" t="s">
        <v>125</v>
      </c>
      <c r="G159" s="6" t="s">
        <v>95</v>
      </c>
      <c r="H159" s="6" t="s">
        <v>94</v>
      </c>
      <c r="I159" s="2" t="s">
        <v>201</v>
      </c>
      <c r="J159" s="3" t="s">
        <v>96</v>
      </c>
      <c r="K159" s="104">
        <v>42585</v>
      </c>
      <c r="L159" s="8">
        <v>43680</v>
      </c>
      <c r="M159" s="4">
        <f t="shared" si="218"/>
        <v>83.983862824473448</v>
      </c>
      <c r="N159" s="2" t="s">
        <v>155</v>
      </c>
      <c r="O159" s="2" t="s">
        <v>156</v>
      </c>
      <c r="P159" s="2" t="s">
        <v>156</v>
      </c>
      <c r="Q159" s="18" t="s">
        <v>157</v>
      </c>
      <c r="R159" s="2" t="s">
        <v>36</v>
      </c>
      <c r="S159" s="25">
        <f t="shared" si="220"/>
        <v>17052953.060000002</v>
      </c>
      <c r="T159" s="25">
        <v>13751720.9</v>
      </c>
      <c r="U159" s="25">
        <v>3301232.16</v>
      </c>
      <c r="V159" s="25">
        <f t="shared" si="219"/>
        <v>0</v>
      </c>
      <c r="W159" s="25">
        <v>0</v>
      </c>
      <c r="X159" s="25">
        <v>0</v>
      </c>
      <c r="Y159" s="25">
        <f t="shared" si="221"/>
        <v>3252082.32</v>
      </c>
      <c r="Z159" s="25">
        <v>2426774.2799999998</v>
      </c>
      <c r="AA159" s="25">
        <v>825308.04</v>
      </c>
      <c r="AB159" s="25">
        <f t="shared" si="222"/>
        <v>0</v>
      </c>
      <c r="AC159" s="25"/>
      <c r="AD159" s="25"/>
      <c r="AE159" s="25">
        <f t="shared" si="223"/>
        <v>20305035.380000003</v>
      </c>
      <c r="AF159" s="25">
        <v>0</v>
      </c>
      <c r="AG159" s="25">
        <f t="shared" si="194"/>
        <v>20305035.380000003</v>
      </c>
      <c r="AH159" s="28" t="s">
        <v>627</v>
      </c>
      <c r="AI159" s="72" t="s">
        <v>497</v>
      </c>
      <c r="AJ159" s="29">
        <v>13499794.970000001</v>
      </c>
      <c r="AK159" s="34">
        <v>0</v>
      </c>
    </row>
    <row r="160" spans="1:37" ht="220.5" x14ac:dyDescent="0.25">
      <c r="A160" s="5">
        <v>154</v>
      </c>
      <c r="B160" s="67">
        <v>117834</v>
      </c>
      <c r="C160" s="118">
        <v>28</v>
      </c>
      <c r="D160" s="2" t="s">
        <v>176</v>
      </c>
      <c r="E160" s="13" t="s">
        <v>165</v>
      </c>
      <c r="F160" s="210" t="s">
        <v>125</v>
      </c>
      <c r="G160" s="6" t="s">
        <v>97</v>
      </c>
      <c r="H160" s="6" t="s">
        <v>84</v>
      </c>
      <c r="I160" s="2" t="s">
        <v>205</v>
      </c>
      <c r="J160" s="3" t="s">
        <v>98</v>
      </c>
      <c r="K160" s="104">
        <v>42515</v>
      </c>
      <c r="L160" s="8">
        <v>43610</v>
      </c>
      <c r="M160" s="4">
        <f t="shared" si="218"/>
        <v>83.983862839308514</v>
      </c>
      <c r="N160" s="2" t="s">
        <v>155</v>
      </c>
      <c r="O160" s="2" t="s">
        <v>156</v>
      </c>
      <c r="P160" s="2" t="s">
        <v>156</v>
      </c>
      <c r="Q160" s="18" t="s">
        <v>157</v>
      </c>
      <c r="R160" s="2" t="s">
        <v>36</v>
      </c>
      <c r="S160" s="25">
        <f t="shared" si="220"/>
        <v>36908560.939999998</v>
      </c>
      <c r="T160" s="25">
        <v>29763538.73</v>
      </c>
      <c r="U160" s="25">
        <v>7145022.21</v>
      </c>
      <c r="V160" s="25">
        <f t="shared" si="219"/>
        <v>0</v>
      </c>
      <c r="W160" s="25">
        <v>0</v>
      </c>
      <c r="X160" s="25">
        <v>0</v>
      </c>
      <c r="Y160" s="25">
        <f t="shared" si="221"/>
        <v>7038644.7400000002</v>
      </c>
      <c r="Z160" s="25">
        <v>5252389.1900000004</v>
      </c>
      <c r="AA160" s="25">
        <v>1786255.55</v>
      </c>
      <c r="AB160" s="25">
        <f t="shared" si="222"/>
        <v>0</v>
      </c>
      <c r="AC160" s="25"/>
      <c r="AD160" s="25"/>
      <c r="AE160" s="25">
        <f t="shared" si="223"/>
        <v>43947205.68</v>
      </c>
      <c r="AF160" s="25">
        <v>0</v>
      </c>
      <c r="AG160" s="25">
        <f t="shared" si="194"/>
        <v>43947205.68</v>
      </c>
      <c r="AH160" s="28" t="s">
        <v>627</v>
      </c>
      <c r="AI160" s="72" t="s">
        <v>474</v>
      </c>
      <c r="AJ160" s="29">
        <v>14591533.85</v>
      </c>
      <c r="AK160" s="34">
        <v>0</v>
      </c>
    </row>
    <row r="161" spans="1:37" ht="252" x14ac:dyDescent="0.25">
      <c r="A161" s="2">
        <v>155</v>
      </c>
      <c r="B161" s="67">
        <v>119993</v>
      </c>
      <c r="C161" s="118">
        <v>29</v>
      </c>
      <c r="D161" s="2" t="s">
        <v>172</v>
      </c>
      <c r="E161" s="13" t="s">
        <v>165</v>
      </c>
      <c r="F161" s="210" t="s">
        <v>125</v>
      </c>
      <c r="G161" s="6" t="s">
        <v>100</v>
      </c>
      <c r="H161" s="6" t="s">
        <v>99</v>
      </c>
      <c r="I161" s="2" t="s">
        <v>210</v>
      </c>
      <c r="J161" s="3" t="s">
        <v>101</v>
      </c>
      <c r="K161" s="104">
        <v>42569</v>
      </c>
      <c r="L161" s="8">
        <v>44030</v>
      </c>
      <c r="M161" s="4">
        <f t="shared" si="218"/>
        <v>83.98386282616714</v>
      </c>
      <c r="N161" s="2" t="s">
        <v>155</v>
      </c>
      <c r="O161" s="2" t="s">
        <v>156</v>
      </c>
      <c r="P161" s="2" t="s">
        <v>156</v>
      </c>
      <c r="Q161" s="18" t="s">
        <v>157</v>
      </c>
      <c r="R161" s="2" t="s">
        <v>36</v>
      </c>
      <c r="S161" s="25">
        <f t="shared" si="220"/>
        <v>35912411.909999996</v>
      </c>
      <c r="T161" s="25">
        <v>28960231.329999998</v>
      </c>
      <c r="U161" s="25">
        <v>6952180.5800000001</v>
      </c>
      <c r="V161" s="25">
        <f t="shared" si="219"/>
        <v>0</v>
      </c>
      <c r="W161" s="25">
        <v>0</v>
      </c>
      <c r="X161" s="25">
        <v>0</v>
      </c>
      <c r="Y161" s="25">
        <f t="shared" si="221"/>
        <v>6848674.209999999</v>
      </c>
      <c r="Z161" s="25">
        <v>5110629.0599999996</v>
      </c>
      <c r="AA161" s="25">
        <v>1738045.15</v>
      </c>
      <c r="AB161" s="25">
        <f t="shared" si="222"/>
        <v>0</v>
      </c>
      <c r="AC161" s="25"/>
      <c r="AD161" s="25"/>
      <c r="AE161" s="25">
        <f t="shared" si="223"/>
        <v>42761086.119999997</v>
      </c>
      <c r="AF161" s="25">
        <v>0</v>
      </c>
      <c r="AG161" s="25">
        <f t="shared" ref="AG161:AG232" si="224">AE161+AF161</f>
        <v>42761086.119999997</v>
      </c>
      <c r="AH161" s="28" t="s">
        <v>627</v>
      </c>
      <c r="AI161" s="42" t="s">
        <v>192</v>
      </c>
      <c r="AJ161" s="29">
        <v>28176.63</v>
      </c>
      <c r="AK161" s="34">
        <v>0</v>
      </c>
    </row>
    <row r="162" spans="1:37" ht="409.5" x14ac:dyDescent="0.25">
      <c r="A162" s="5">
        <v>156</v>
      </c>
      <c r="B162" s="67">
        <v>118292</v>
      </c>
      <c r="C162" s="118">
        <v>30</v>
      </c>
      <c r="D162" s="2" t="s">
        <v>175</v>
      </c>
      <c r="E162" s="13" t="s">
        <v>165</v>
      </c>
      <c r="F162" s="210" t="s">
        <v>125</v>
      </c>
      <c r="G162" s="6" t="s">
        <v>103</v>
      </c>
      <c r="H162" s="6" t="s">
        <v>102</v>
      </c>
      <c r="I162" s="2" t="s">
        <v>198</v>
      </c>
      <c r="J162" s="3" t="s">
        <v>104</v>
      </c>
      <c r="K162" s="104">
        <v>42446</v>
      </c>
      <c r="L162" s="8">
        <v>43237</v>
      </c>
      <c r="M162" s="4">
        <f t="shared" si="218"/>
        <v>83.983862811384185</v>
      </c>
      <c r="N162" s="2" t="s">
        <v>155</v>
      </c>
      <c r="O162" s="2" t="s">
        <v>156</v>
      </c>
      <c r="P162" s="2" t="s">
        <v>156</v>
      </c>
      <c r="Q162" s="18" t="s">
        <v>157</v>
      </c>
      <c r="R162" s="2" t="s">
        <v>36</v>
      </c>
      <c r="S162" s="25">
        <f t="shared" si="220"/>
        <v>23983572.759999998</v>
      </c>
      <c r="T162" s="25">
        <v>19340661.859999999</v>
      </c>
      <c r="U162" s="25">
        <v>4642910.9000000004</v>
      </c>
      <c r="V162" s="25">
        <f t="shared" si="219"/>
        <v>0</v>
      </c>
      <c r="W162" s="25">
        <v>0</v>
      </c>
      <c r="X162" s="25">
        <v>0</v>
      </c>
      <c r="Y162" s="25">
        <f t="shared" si="221"/>
        <v>4573785.71</v>
      </c>
      <c r="Z162" s="25">
        <v>3413057.98</v>
      </c>
      <c r="AA162" s="25">
        <v>1160727.73</v>
      </c>
      <c r="AB162" s="25">
        <f t="shared" si="222"/>
        <v>0</v>
      </c>
      <c r="AC162" s="25"/>
      <c r="AD162" s="25"/>
      <c r="AE162" s="25">
        <f t="shared" si="223"/>
        <v>28557358.469999999</v>
      </c>
      <c r="AF162" s="25">
        <v>54654.13</v>
      </c>
      <c r="AG162" s="25">
        <f t="shared" si="224"/>
        <v>28612012.599999998</v>
      </c>
      <c r="AH162" s="28" t="s">
        <v>1125</v>
      </c>
      <c r="AI162" s="72" t="s">
        <v>505</v>
      </c>
      <c r="AJ162" s="29">
        <v>20419622.34</v>
      </c>
      <c r="AK162" s="34">
        <v>0</v>
      </c>
    </row>
    <row r="163" spans="1:37" ht="141.75" x14ac:dyDescent="0.25">
      <c r="A163" s="5">
        <v>157</v>
      </c>
      <c r="B163" s="67">
        <v>120208</v>
      </c>
      <c r="C163" s="118">
        <v>47</v>
      </c>
      <c r="D163" s="2" t="s">
        <v>174</v>
      </c>
      <c r="E163" s="13" t="s">
        <v>165</v>
      </c>
      <c r="F163" s="210" t="s">
        <v>128</v>
      </c>
      <c r="G163" s="6" t="s">
        <v>720</v>
      </c>
      <c r="H163" s="6" t="s">
        <v>364</v>
      </c>
      <c r="I163" s="2" t="s">
        <v>187</v>
      </c>
      <c r="J163" s="3" t="s">
        <v>722</v>
      </c>
      <c r="K163" s="104">
        <v>42914</v>
      </c>
      <c r="L163" s="8">
        <v>44193</v>
      </c>
      <c r="M163" s="4">
        <f t="shared" si="218"/>
        <v>83.983862839866035</v>
      </c>
      <c r="N163" s="2" t="s">
        <v>155</v>
      </c>
      <c r="O163" s="2" t="s">
        <v>156</v>
      </c>
      <c r="P163" s="2" t="s">
        <v>156</v>
      </c>
      <c r="Q163" s="18" t="s">
        <v>157</v>
      </c>
      <c r="R163" s="2" t="s">
        <v>36</v>
      </c>
      <c r="S163" s="25">
        <f t="shared" si="220"/>
        <v>6085613.1800000006</v>
      </c>
      <c r="T163" s="25">
        <v>4907516.82</v>
      </c>
      <c r="U163" s="25">
        <v>1178096.3600000001</v>
      </c>
      <c r="V163" s="25">
        <f>W163+X163</f>
        <v>0</v>
      </c>
      <c r="W163" s="25">
        <v>0</v>
      </c>
      <c r="X163" s="25">
        <v>0</v>
      </c>
      <c r="Y163" s="25">
        <f t="shared" si="221"/>
        <v>1160556.47</v>
      </c>
      <c r="Z163" s="25">
        <v>866032.38</v>
      </c>
      <c r="AA163" s="25">
        <v>294524.09000000003</v>
      </c>
      <c r="AB163" s="25">
        <f t="shared" si="222"/>
        <v>0</v>
      </c>
      <c r="AC163" s="25"/>
      <c r="AD163" s="25"/>
      <c r="AE163" s="25">
        <f t="shared" si="223"/>
        <v>7246169.6500000004</v>
      </c>
      <c r="AF163" s="25">
        <v>0</v>
      </c>
      <c r="AG163" s="25">
        <f t="shared" si="224"/>
        <v>7246169.6500000004</v>
      </c>
      <c r="AH163" s="28" t="s">
        <v>627</v>
      </c>
      <c r="AI163" s="72" t="s">
        <v>1131</v>
      </c>
      <c r="AJ163" s="29">
        <f>318314.17+157541.59+137631.79</f>
        <v>613487.55000000005</v>
      </c>
      <c r="AK163" s="34">
        <v>0</v>
      </c>
    </row>
    <row r="164" spans="1:37" ht="220.5" x14ac:dyDescent="0.25">
      <c r="A164" s="2">
        <v>158</v>
      </c>
      <c r="B164" s="67">
        <v>119991</v>
      </c>
      <c r="C164" s="118">
        <v>48</v>
      </c>
      <c r="D164" s="2" t="s">
        <v>172</v>
      </c>
      <c r="E164" s="13" t="s">
        <v>165</v>
      </c>
      <c r="F164" s="210" t="s">
        <v>128</v>
      </c>
      <c r="G164" s="6" t="s">
        <v>130</v>
      </c>
      <c r="H164" s="6" t="s">
        <v>129</v>
      </c>
      <c r="I164" s="2" t="s">
        <v>187</v>
      </c>
      <c r="J164" s="3" t="s">
        <v>131</v>
      </c>
      <c r="K164" s="104">
        <v>43004</v>
      </c>
      <c r="L164" s="8">
        <v>43916</v>
      </c>
      <c r="M164" s="4">
        <f t="shared" si="218"/>
        <v>83.9838628091575</v>
      </c>
      <c r="N164" s="2" t="s">
        <v>155</v>
      </c>
      <c r="O164" s="2" t="s">
        <v>156</v>
      </c>
      <c r="P164" s="2" t="s">
        <v>156</v>
      </c>
      <c r="Q164" s="18" t="s">
        <v>157</v>
      </c>
      <c r="R164" s="2" t="s">
        <v>36</v>
      </c>
      <c r="S164" s="25">
        <f t="shared" si="220"/>
        <v>12597407.540000001</v>
      </c>
      <c r="T164" s="25">
        <v>10158711.630000001</v>
      </c>
      <c r="U164" s="25">
        <v>2438695.91</v>
      </c>
      <c r="V164" s="25">
        <f t="shared" si="219"/>
        <v>0</v>
      </c>
      <c r="W164" s="25">
        <v>0</v>
      </c>
      <c r="X164" s="25">
        <v>0</v>
      </c>
      <c r="Y164" s="25">
        <f t="shared" si="221"/>
        <v>2402387.7999999998</v>
      </c>
      <c r="Z164" s="25">
        <v>1792713.82</v>
      </c>
      <c r="AA164" s="25">
        <v>609673.98</v>
      </c>
      <c r="AB164" s="25">
        <f t="shared" si="222"/>
        <v>0</v>
      </c>
      <c r="AC164" s="25"/>
      <c r="AD164" s="25"/>
      <c r="AE164" s="25">
        <f t="shared" si="223"/>
        <v>14999795.34</v>
      </c>
      <c r="AF164" s="25">
        <v>2999990</v>
      </c>
      <c r="AG164" s="25">
        <f t="shared" si="224"/>
        <v>17999785.34</v>
      </c>
      <c r="AH164" s="28" t="s">
        <v>627</v>
      </c>
      <c r="AI164" s="41" t="s">
        <v>187</v>
      </c>
      <c r="AJ164" s="29">
        <v>0</v>
      </c>
      <c r="AK164" s="44">
        <v>0</v>
      </c>
    </row>
    <row r="165" spans="1:37" s="211" customFormat="1" ht="299.25" x14ac:dyDescent="0.25">
      <c r="A165" s="5">
        <v>159</v>
      </c>
      <c r="B165" s="67">
        <v>119992</v>
      </c>
      <c r="C165" s="118">
        <v>49</v>
      </c>
      <c r="D165" s="2" t="s">
        <v>172</v>
      </c>
      <c r="E165" s="13" t="s">
        <v>165</v>
      </c>
      <c r="F165" s="210" t="s">
        <v>128</v>
      </c>
      <c r="G165" s="6" t="s">
        <v>132</v>
      </c>
      <c r="H165" s="6" t="s">
        <v>129</v>
      </c>
      <c r="I165" s="2" t="s">
        <v>187</v>
      </c>
      <c r="J165" s="3" t="s">
        <v>133</v>
      </c>
      <c r="K165" s="104">
        <v>43004</v>
      </c>
      <c r="L165" s="8">
        <v>43916</v>
      </c>
      <c r="M165" s="4">
        <f t="shared" si="218"/>
        <v>83.98386278575461</v>
      </c>
      <c r="N165" s="2" t="s">
        <v>155</v>
      </c>
      <c r="O165" s="2" t="s">
        <v>156</v>
      </c>
      <c r="P165" s="2" t="s">
        <v>156</v>
      </c>
      <c r="Q165" s="18" t="s">
        <v>157</v>
      </c>
      <c r="R165" s="2" t="s">
        <v>36</v>
      </c>
      <c r="S165" s="25">
        <f t="shared" si="220"/>
        <v>11755282.280000001</v>
      </c>
      <c r="T165" s="25">
        <v>9479610.9800000004</v>
      </c>
      <c r="U165" s="25">
        <v>2275671.2999999998</v>
      </c>
      <c r="V165" s="25">
        <f t="shared" si="219"/>
        <v>0</v>
      </c>
      <c r="W165" s="25">
        <v>0</v>
      </c>
      <c r="X165" s="25">
        <v>0</v>
      </c>
      <c r="Y165" s="25">
        <f t="shared" si="221"/>
        <v>2241790.36</v>
      </c>
      <c r="Z165" s="25">
        <v>1672872.53</v>
      </c>
      <c r="AA165" s="25">
        <v>568917.82999999996</v>
      </c>
      <c r="AB165" s="25">
        <f t="shared" si="222"/>
        <v>0</v>
      </c>
      <c r="AC165" s="25"/>
      <c r="AD165" s="25"/>
      <c r="AE165" s="25">
        <f t="shared" si="223"/>
        <v>13997072.640000001</v>
      </c>
      <c r="AF165" s="25">
        <v>0</v>
      </c>
      <c r="AG165" s="25">
        <f t="shared" si="224"/>
        <v>13997072.640000001</v>
      </c>
      <c r="AH165" s="28" t="s">
        <v>627</v>
      </c>
      <c r="AI165" s="41" t="s">
        <v>187</v>
      </c>
      <c r="AJ165" s="29">
        <v>0</v>
      </c>
      <c r="AK165" s="44">
        <v>0</v>
      </c>
    </row>
    <row r="166" spans="1:37" s="211" customFormat="1" ht="220.5" x14ac:dyDescent="0.25">
      <c r="A166" s="5">
        <v>160</v>
      </c>
      <c r="B166" s="67">
        <v>119731</v>
      </c>
      <c r="C166" s="118">
        <v>51</v>
      </c>
      <c r="D166" s="2" t="s">
        <v>174</v>
      </c>
      <c r="E166" s="13" t="s">
        <v>165</v>
      </c>
      <c r="F166" s="210" t="s">
        <v>128</v>
      </c>
      <c r="G166" s="6" t="s">
        <v>134</v>
      </c>
      <c r="H166" s="6" t="s">
        <v>64</v>
      </c>
      <c r="I166" s="2" t="s">
        <v>187</v>
      </c>
      <c r="J166" s="3" t="s">
        <v>135</v>
      </c>
      <c r="K166" s="104">
        <v>42956</v>
      </c>
      <c r="L166" s="8">
        <v>43870</v>
      </c>
      <c r="M166" s="4">
        <f t="shared" si="218"/>
        <v>83.983862780427785</v>
      </c>
      <c r="N166" s="2" t="s">
        <v>155</v>
      </c>
      <c r="O166" s="2" t="s">
        <v>156</v>
      </c>
      <c r="P166" s="2" t="s">
        <v>156</v>
      </c>
      <c r="Q166" s="18" t="s">
        <v>157</v>
      </c>
      <c r="R166" s="2" t="s">
        <v>36</v>
      </c>
      <c r="S166" s="25">
        <f t="shared" si="220"/>
        <v>10449475.91</v>
      </c>
      <c r="T166" s="25">
        <v>8426591.9100000001</v>
      </c>
      <c r="U166" s="25">
        <v>2022884</v>
      </c>
      <c r="V166" s="25">
        <f t="shared" si="219"/>
        <v>0</v>
      </c>
      <c r="W166" s="25">
        <v>0</v>
      </c>
      <c r="X166" s="25">
        <v>0</v>
      </c>
      <c r="Y166" s="25">
        <f t="shared" si="221"/>
        <v>1992766.64</v>
      </c>
      <c r="Z166" s="25">
        <v>1487045.64</v>
      </c>
      <c r="AA166" s="25">
        <v>505721</v>
      </c>
      <c r="AB166" s="25">
        <f t="shared" si="222"/>
        <v>0</v>
      </c>
      <c r="AC166" s="25"/>
      <c r="AD166" s="25"/>
      <c r="AE166" s="25">
        <f t="shared" si="223"/>
        <v>12442242.550000001</v>
      </c>
      <c r="AF166" s="25">
        <v>0</v>
      </c>
      <c r="AG166" s="25">
        <f t="shared" si="224"/>
        <v>12442242.550000001</v>
      </c>
      <c r="AH166" s="28" t="s">
        <v>627</v>
      </c>
      <c r="AI166" s="41" t="s">
        <v>187</v>
      </c>
      <c r="AJ166" s="29">
        <f>69562.99+104629.25+99957.75+221484.48</f>
        <v>495634.47</v>
      </c>
      <c r="AK166" s="44">
        <v>0</v>
      </c>
    </row>
    <row r="167" spans="1:37" s="211" customFormat="1" ht="173.25" x14ac:dyDescent="0.25">
      <c r="A167" s="2">
        <v>161</v>
      </c>
      <c r="B167" s="67">
        <v>120194</v>
      </c>
      <c r="C167" s="118">
        <v>52</v>
      </c>
      <c r="D167" s="2" t="s">
        <v>175</v>
      </c>
      <c r="E167" s="13" t="s">
        <v>165</v>
      </c>
      <c r="F167" s="210" t="s">
        <v>128</v>
      </c>
      <c r="G167" s="6" t="s">
        <v>137</v>
      </c>
      <c r="H167" s="6" t="s">
        <v>136</v>
      </c>
      <c r="I167" s="2" t="s">
        <v>187</v>
      </c>
      <c r="J167" s="3" t="s">
        <v>138</v>
      </c>
      <c r="K167" s="104">
        <v>42963</v>
      </c>
      <c r="L167" s="8">
        <v>43877</v>
      </c>
      <c r="M167" s="4">
        <f t="shared" si="218"/>
        <v>83.983862831024851</v>
      </c>
      <c r="N167" s="2" t="s">
        <v>155</v>
      </c>
      <c r="O167" s="2" t="s">
        <v>156</v>
      </c>
      <c r="P167" s="2" t="s">
        <v>156</v>
      </c>
      <c r="Q167" s="18" t="s">
        <v>157</v>
      </c>
      <c r="R167" s="2" t="s">
        <v>36</v>
      </c>
      <c r="S167" s="25">
        <f t="shared" si="220"/>
        <v>12243037.969999999</v>
      </c>
      <c r="T167" s="25">
        <v>9872943.4499999993</v>
      </c>
      <c r="U167" s="25">
        <v>2370094.52</v>
      </c>
      <c r="V167" s="25">
        <f t="shared" si="219"/>
        <v>0</v>
      </c>
      <c r="W167" s="25">
        <v>0</v>
      </c>
      <c r="X167" s="25">
        <v>0</v>
      </c>
      <c r="Y167" s="25">
        <f t="shared" si="221"/>
        <v>2334807.77</v>
      </c>
      <c r="Z167" s="25">
        <v>1742284.14</v>
      </c>
      <c r="AA167" s="25">
        <v>592523.63</v>
      </c>
      <c r="AB167" s="25">
        <f t="shared" si="222"/>
        <v>0</v>
      </c>
      <c r="AC167" s="25"/>
      <c r="AD167" s="25"/>
      <c r="AE167" s="25">
        <f t="shared" si="223"/>
        <v>14577845.739999998</v>
      </c>
      <c r="AF167" s="25">
        <v>0</v>
      </c>
      <c r="AG167" s="25">
        <f t="shared" si="224"/>
        <v>14577845.739999998</v>
      </c>
      <c r="AH167" s="28" t="s">
        <v>627</v>
      </c>
      <c r="AI167" s="41" t="s">
        <v>187</v>
      </c>
      <c r="AJ167" s="29">
        <f>18637.33+286940.34+81387.29</f>
        <v>386964.96</v>
      </c>
      <c r="AK167" s="44">
        <v>0</v>
      </c>
    </row>
    <row r="168" spans="1:37" s="211" customFormat="1" ht="267.75" x14ac:dyDescent="0.25">
      <c r="A168" s="5">
        <v>162</v>
      </c>
      <c r="B168" s="67">
        <v>119983</v>
      </c>
      <c r="C168" s="118">
        <v>58</v>
      </c>
      <c r="D168" s="2" t="s">
        <v>177</v>
      </c>
      <c r="E168" s="13" t="s">
        <v>165</v>
      </c>
      <c r="F168" s="210" t="s">
        <v>128</v>
      </c>
      <c r="G168" s="6" t="s">
        <v>139</v>
      </c>
      <c r="H168" s="6" t="s">
        <v>75</v>
      </c>
      <c r="I168" s="2" t="s">
        <v>197</v>
      </c>
      <c r="J168" s="3" t="s">
        <v>140</v>
      </c>
      <c r="K168" s="104">
        <v>42963</v>
      </c>
      <c r="L168" s="8">
        <v>43693</v>
      </c>
      <c r="M168" s="4">
        <f t="shared" si="218"/>
        <v>83.983862872994763</v>
      </c>
      <c r="N168" s="2" t="s">
        <v>155</v>
      </c>
      <c r="O168" s="2" t="s">
        <v>156</v>
      </c>
      <c r="P168" s="2" t="s">
        <v>156</v>
      </c>
      <c r="Q168" s="18" t="s">
        <v>157</v>
      </c>
      <c r="R168" s="2" t="s">
        <v>36</v>
      </c>
      <c r="S168" s="25">
        <f t="shared" si="220"/>
        <v>8062160.4699999997</v>
      </c>
      <c r="T168" s="25">
        <v>6501430</v>
      </c>
      <c r="U168" s="25">
        <v>1560730.47</v>
      </c>
      <c r="V168" s="25">
        <f t="shared" si="219"/>
        <v>0</v>
      </c>
      <c r="W168" s="25">
        <v>0</v>
      </c>
      <c r="X168" s="25">
        <v>0</v>
      </c>
      <c r="Y168" s="25">
        <f t="shared" si="221"/>
        <v>1537493.79</v>
      </c>
      <c r="Z168" s="25">
        <v>1147311.17</v>
      </c>
      <c r="AA168" s="25">
        <v>390182.62</v>
      </c>
      <c r="AB168" s="25">
        <f t="shared" si="222"/>
        <v>0</v>
      </c>
      <c r="AC168" s="25"/>
      <c r="AD168" s="25"/>
      <c r="AE168" s="25">
        <f t="shared" si="223"/>
        <v>9599654.2599999998</v>
      </c>
      <c r="AF168" s="25">
        <v>655333</v>
      </c>
      <c r="AG168" s="25">
        <f t="shared" si="224"/>
        <v>10254987.26</v>
      </c>
      <c r="AH168" s="28" t="s">
        <v>627</v>
      </c>
      <c r="AI168" s="41" t="s">
        <v>187</v>
      </c>
      <c r="AJ168" s="29">
        <f>27068+159937+61959.1+719797.57+221414.47</f>
        <v>1190176.1399999999</v>
      </c>
      <c r="AK168" s="44">
        <v>0</v>
      </c>
    </row>
    <row r="169" spans="1:37" ht="157.5" x14ac:dyDescent="0.25">
      <c r="A169" s="5">
        <v>163</v>
      </c>
      <c r="B169" s="67">
        <v>119622</v>
      </c>
      <c r="C169" s="118">
        <v>45</v>
      </c>
      <c r="D169" s="2" t="s">
        <v>163</v>
      </c>
      <c r="E169" s="13" t="s">
        <v>166</v>
      </c>
      <c r="F169" s="210" t="s">
        <v>183</v>
      </c>
      <c r="G169" s="6" t="s">
        <v>122</v>
      </c>
      <c r="H169" s="6" t="s">
        <v>121</v>
      </c>
      <c r="I169" s="2" t="s">
        <v>187</v>
      </c>
      <c r="J169" s="3" t="s">
        <v>123</v>
      </c>
      <c r="K169" s="104">
        <v>42793</v>
      </c>
      <c r="L169" s="8">
        <v>43765</v>
      </c>
      <c r="M169" s="4">
        <f t="shared" si="218"/>
        <v>83.983862835522956</v>
      </c>
      <c r="N169" s="2" t="s">
        <v>155</v>
      </c>
      <c r="O169" s="2" t="s">
        <v>156</v>
      </c>
      <c r="P169" s="2" t="s">
        <v>156</v>
      </c>
      <c r="Q169" s="18" t="s">
        <v>157</v>
      </c>
      <c r="R169" s="2" t="s">
        <v>36</v>
      </c>
      <c r="S169" s="25">
        <f t="shared" si="220"/>
        <v>37233996.450000003</v>
      </c>
      <c r="T169" s="25">
        <v>30025974.120000001</v>
      </c>
      <c r="U169" s="25">
        <v>7208022.3300000001</v>
      </c>
      <c r="V169" s="25">
        <f t="shared" si="219"/>
        <v>0</v>
      </c>
      <c r="W169" s="25">
        <v>0</v>
      </c>
      <c r="X169" s="25">
        <v>0</v>
      </c>
      <c r="Y169" s="25">
        <f t="shared" si="221"/>
        <v>7100706.9000000004</v>
      </c>
      <c r="Z169" s="25">
        <v>5298701.32</v>
      </c>
      <c r="AA169" s="25">
        <v>1802005.58</v>
      </c>
      <c r="AB169" s="25">
        <f t="shared" si="222"/>
        <v>0</v>
      </c>
      <c r="AC169" s="25"/>
      <c r="AD169" s="25"/>
      <c r="AE169" s="25">
        <f t="shared" si="223"/>
        <v>44334703.350000001</v>
      </c>
      <c r="AF169" s="25">
        <v>427346.26</v>
      </c>
      <c r="AG169" s="25">
        <f t="shared" si="224"/>
        <v>44762049.609999999</v>
      </c>
      <c r="AH169" s="28" t="s">
        <v>627</v>
      </c>
      <c r="AI169" s="45" t="s">
        <v>941</v>
      </c>
      <c r="AJ169" s="29">
        <f>4923177.41+2008542+5450879.77+3758413.79</f>
        <v>16141012.969999999</v>
      </c>
      <c r="AK169" s="44">
        <v>0</v>
      </c>
    </row>
    <row r="170" spans="1:37" ht="141.75" x14ac:dyDescent="0.25">
      <c r="A170" s="2">
        <v>164</v>
      </c>
      <c r="B170" s="67">
        <v>119689</v>
      </c>
      <c r="C170" s="118">
        <v>53</v>
      </c>
      <c r="D170" s="2" t="s">
        <v>163</v>
      </c>
      <c r="E170" s="13" t="s">
        <v>169</v>
      </c>
      <c r="F170" s="210" t="s">
        <v>142</v>
      </c>
      <c r="G170" s="6" t="s">
        <v>112</v>
      </c>
      <c r="H170" s="6" t="s">
        <v>111</v>
      </c>
      <c r="I170" s="2" t="s">
        <v>187</v>
      </c>
      <c r="J170" s="3" t="s">
        <v>113</v>
      </c>
      <c r="K170" s="104">
        <v>42943</v>
      </c>
      <c r="L170" s="8">
        <v>44039</v>
      </c>
      <c r="M170" s="4">
        <f t="shared" si="218"/>
        <v>83.983862843305559</v>
      </c>
      <c r="N170" s="2" t="s">
        <v>155</v>
      </c>
      <c r="O170" s="2" t="s">
        <v>156</v>
      </c>
      <c r="P170" s="2" t="s">
        <v>156</v>
      </c>
      <c r="Q170" s="18" t="s">
        <v>157</v>
      </c>
      <c r="R170" s="2" t="s">
        <v>36</v>
      </c>
      <c r="S170" s="25">
        <f t="shared" si="220"/>
        <v>46010993.850000001</v>
      </c>
      <c r="T170" s="25">
        <v>37103857.82</v>
      </c>
      <c r="U170" s="25">
        <v>8907136.0299999993</v>
      </c>
      <c r="V170" s="25">
        <f t="shared" si="219"/>
        <v>0</v>
      </c>
      <c r="W170" s="25">
        <v>0</v>
      </c>
      <c r="X170" s="25">
        <v>0</v>
      </c>
      <c r="Y170" s="25">
        <f t="shared" si="221"/>
        <v>8774523.620000001</v>
      </c>
      <c r="Z170" s="25">
        <v>6547739.6100000003</v>
      </c>
      <c r="AA170" s="25">
        <v>2226784.0099999998</v>
      </c>
      <c r="AB170" s="25">
        <f t="shared" si="222"/>
        <v>0</v>
      </c>
      <c r="AC170" s="25"/>
      <c r="AD170" s="25"/>
      <c r="AE170" s="25">
        <f t="shared" si="223"/>
        <v>54785517.469999999</v>
      </c>
      <c r="AF170" s="25">
        <v>0</v>
      </c>
      <c r="AG170" s="25">
        <f t="shared" si="224"/>
        <v>54785517.469999999</v>
      </c>
      <c r="AH170" s="28" t="s">
        <v>627</v>
      </c>
      <c r="AI170" s="72" t="s">
        <v>187</v>
      </c>
      <c r="AJ170" s="29">
        <f>159716.44+74879.59+127159.41</f>
        <v>361755.44</v>
      </c>
      <c r="AK170" s="34">
        <v>0</v>
      </c>
    </row>
    <row r="171" spans="1:37" ht="173.25" x14ac:dyDescent="0.25">
      <c r="A171" s="5">
        <v>165</v>
      </c>
      <c r="B171" s="67">
        <v>119240</v>
      </c>
      <c r="C171" s="118">
        <v>54</v>
      </c>
      <c r="D171" s="2" t="s">
        <v>163</v>
      </c>
      <c r="E171" s="13" t="s">
        <v>169</v>
      </c>
      <c r="F171" s="210" t="s">
        <v>142</v>
      </c>
      <c r="G171" s="6" t="s">
        <v>114</v>
      </c>
      <c r="H171" s="6" t="s">
        <v>111</v>
      </c>
      <c r="I171" s="2" t="s">
        <v>187</v>
      </c>
      <c r="J171" s="3" t="s">
        <v>115</v>
      </c>
      <c r="K171" s="104">
        <v>42943</v>
      </c>
      <c r="L171" s="8">
        <v>44039</v>
      </c>
      <c r="M171" s="4">
        <f t="shared" si="218"/>
        <v>83.983862856059488</v>
      </c>
      <c r="N171" s="2" t="s">
        <v>155</v>
      </c>
      <c r="O171" s="2" t="s">
        <v>156</v>
      </c>
      <c r="P171" s="2" t="s">
        <v>156</v>
      </c>
      <c r="Q171" s="18" t="s">
        <v>157</v>
      </c>
      <c r="R171" s="2" t="s">
        <v>36</v>
      </c>
      <c r="S171" s="25">
        <f t="shared" si="220"/>
        <v>11805482.93</v>
      </c>
      <c r="T171" s="25">
        <v>9520093.4299999997</v>
      </c>
      <c r="U171" s="25">
        <v>2285389.5</v>
      </c>
      <c r="V171" s="25">
        <f t="shared" si="219"/>
        <v>0</v>
      </c>
      <c r="W171" s="25">
        <v>0</v>
      </c>
      <c r="X171" s="25">
        <v>0</v>
      </c>
      <c r="Y171" s="25">
        <f t="shared" si="221"/>
        <v>2251363.86</v>
      </c>
      <c r="Z171" s="25">
        <v>1680016.49</v>
      </c>
      <c r="AA171" s="25">
        <v>571347.37</v>
      </c>
      <c r="AB171" s="25">
        <f t="shared" si="222"/>
        <v>0</v>
      </c>
      <c r="AC171" s="25"/>
      <c r="AD171" s="25"/>
      <c r="AE171" s="25">
        <f t="shared" si="223"/>
        <v>14056846.789999999</v>
      </c>
      <c r="AF171" s="25">
        <v>216877.5</v>
      </c>
      <c r="AG171" s="25">
        <f t="shared" si="224"/>
        <v>14273724.289999999</v>
      </c>
      <c r="AH171" s="28" t="s">
        <v>627</v>
      </c>
      <c r="AI171" s="72" t="s">
        <v>187</v>
      </c>
      <c r="AJ171" s="29">
        <f>122452.96+57358.87+100383.61</f>
        <v>280195.44</v>
      </c>
      <c r="AK171" s="34">
        <v>0</v>
      </c>
    </row>
    <row r="172" spans="1:37" ht="204.75" x14ac:dyDescent="0.25">
      <c r="A172" s="5">
        <v>166</v>
      </c>
      <c r="B172" s="67">
        <v>120068</v>
      </c>
      <c r="C172" s="118">
        <v>55</v>
      </c>
      <c r="D172" s="2" t="s">
        <v>163</v>
      </c>
      <c r="E172" s="13" t="s">
        <v>169</v>
      </c>
      <c r="F172" s="210" t="s">
        <v>142</v>
      </c>
      <c r="G172" s="6" t="s">
        <v>117</v>
      </c>
      <c r="H172" s="6" t="s">
        <v>116</v>
      </c>
      <c r="I172" s="212" t="s">
        <v>195</v>
      </c>
      <c r="J172" s="3" t="s">
        <v>118</v>
      </c>
      <c r="K172" s="104">
        <v>43060</v>
      </c>
      <c r="L172" s="8">
        <v>43820</v>
      </c>
      <c r="M172" s="4">
        <f t="shared" si="218"/>
        <v>83.983862867470734</v>
      </c>
      <c r="N172" s="2" t="s">
        <v>155</v>
      </c>
      <c r="O172" s="2" t="s">
        <v>156</v>
      </c>
      <c r="P172" s="2" t="s">
        <v>156</v>
      </c>
      <c r="Q172" s="90" t="s">
        <v>157</v>
      </c>
      <c r="R172" s="2" t="s">
        <v>36</v>
      </c>
      <c r="S172" s="25">
        <f t="shared" si="220"/>
        <v>8678209.1799999997</v>
      </c>
      <c r="T172" s="25">
        <v>6998219.6100000003</v>
      </c>
      <c r="U172" s="25">
        <v>1679989.57</v>
      </c>
      <c r="V172" s="25">
        <f t="shared" si="219"/>
        <v>0</v>
      </c>
      <c r="W172" s="25">
        <v>0</v>
      </c>
      <c r="X172" s="25">
        <v>0</v>
      </c>
      <c r="Y172" s="25">
        <f t="shared" si="221"/>
        <v>1654977.3199999998</v>
      </c>
      <c r="Z172" s="25">
        <v>1234979.93</v>
      </c>
      <c r="AA172" s="25">
        <v>419997.39</v>
      </c>
      <c r="AB172" s="25">
        <f t="shared" si="222"/>
        <v>0</v>
      </c>
      <c r="AC172" s="25">
        <v>0</v>
      </c>
      <c r="AD172" s="25">
        <v>0</v>
      </c>
      <c r="AE172" s="25">
        <f t="shared" si="223"/>
        <v>10333186.5</v>
      </c>
      <c r="AF172" s="25">
        <v>0</v>
      </c>
      <c r="AG172" s="25">
        <f t="shared" si="224"/>
        <v>10333186.5</v>
      </c>
      <c r="AH172" s="28" t="s">
        <v>627</v>
      </c>
      <c r="AI172" s="72" t="s">
        <v>1271</v>
      </c>
      <c r="AJ172" s="29">
        <f>41796.8+106506.65</f>
        <v>148303.45000000001</v>
      </c>
      <c r="AK172" s="34">
        <v>0</v>
      </c>
    </row>
    <row r="173" spans="1:37" ht="141.75" x14ac:dyDescent="0.25">
      <c r="A173" s="2">
        <v>167</v>
      </c>
      <c r="B173" s="67">
        <v>120082</v>
      </c>
      <c r="C173" s="118">
        <v>56</v>
      </c>
      <c r="D173" s="2" t="s">
        <v>168</v>
      </c>
      <c r="E173" s="13" t="s">
        <v>169</v>
      </c>
      <c r="F173" s="210" t="s">
        <v>142</v>
      </c>
      <c r="G173" s="6" t="s">
        <v>143</v>
      </c>
      <c r="H173" s="6" t="s">
        <v>141</v>
      </c>
      <c r="I173" s="2" t="s">
        <v>207</v>
      </c>
      <c r="J173" s="3" t="s">
        <v>144</v>
      </c>
      <c r="K173" s="104">
        <v>43006</v>
      </c>
      <c r="L173" s="8">
        <v>44102</v>
      </c>
      <c r="M173" s="4">
        <f t="shared" si="218"/>
        <v>83.98386279749451</v>
      </c>
      <c r="N173" s="2" t="s">
        <v>155</v>
      </c>
      <c r="O173" s="2" t="s">
        <v>156</v>
      </c>
      <c r="P173" s="2" t="s">
        <v>156</v>
      </c>
      <c r="Q173" s="18" t="s">
        <v>157</v>
      </c>
      <c r="R173" s="2" t="s">
        <v>36</v>
      </c>
      <c r="S173" s="25">
        <f t="shared" si="220"/>
        <v>5145385.2700000005</v>
      </c>
      <c r="T173" s="25">
        <v>4149304.93</v>
      </c>
      <c r="U173" s="25">
        <v>996080.34</v>
      </c>
      <c r="V173" s="25">
        <f t="shared" si="219"/>
        <v>0</v>
      </c>
      <c r="W173" s="25">
        <v>0</v>
      </c>
      <c r="X173" s="25">
        <v>0</v>
      </c>
      <c r="Y173" s="25">
        <f t="shared" si="221"/>
        <v>981250.37</v>
      </c>
      <c r="Z173" s="25">
        <v>732230.28</v>
      </c>
      <c r="AA173" s="25">
        <v>249020.09</v>
      </c>
      <c r="AB173" s="25">
        <f t="shared" si="222"/>
        <v>0</v>
      </c>
      <c r="AC173" s="25"/>
      <c r="AD173" s="25"/>
      <c r="AE173" s="25">
        <f t="shared" si="223"/>
        <v>6126635.6400000006</v>
      </c>
      <c r="AF173" s="25">
        <v>0</v>
      </c>
      <c r="AG173" s="25">
        <f t="shared" si="224"/>
        <v>6126635.6400000006</v>
      </c>
      <c r="AH173" s="28" t="s">
        <v>627</v>
      </c>
      <c r="AI173" s="41" t="s">
        <v>187</v>
      </c>
      <c r="AJ173" s="29">
        <f>15818.36+6578.46+48495.02</f>
        <v>70891.839999999997</v>
      </c>
      <c r="AK173" s="34">
        <v>0</v>
      </c>
    </row>
    <row r="174" spans="1:37" ht="141.75" x14ac:dyDescent="0.25">
      <c r="A174" s="5">
        <v>168</v>
      </c>
      <c r="B174" s="67">
        <v>120126</v>
      </c>
      <c r="C174" s="118">
        <v>57</v>
      </c>
      <c r="D174" s="2" t="s">
        <v>168</v>
      </c>
      <c r="E174" s="13" t="s">
        <v>169</v>
      </c>
      <c r="F174" s="210" t="s">
        <v>142</v>
      </c>
      <c r="G174" s="6" t="s">
        <v>119</v>
      </c>
      <c r="H174" s="6" t="s">
        <v>116</v>
      </c>
      <c r="I174" s="2" t="s">
        <v>187</v>
      </c>
      <c r="J174" s="3" t="s">
        <v>120</v>
      </c>
      <c r="K174" s="104">
        <v>43060</v>
      </c>
      <c r="L174" s="8">
        <v>43789</v>
      </c>
      <c r="M174" s="4">
        <f t="shared" si="218"/>
        <v>83.98386273060467</v>
      </c>
      <c r="N174" s="2" t="s">
        <v>155</v>
      </c>
      <c r="O174" s="2" t="s">
        <v>156</v>
      </c>
      <c r="P174" s="2" t="s">
        <v>156</v>
      </c>
      <c r="Q174" s="18" t="s">
        <v>157</v>
      </c>
      <c r="R174" s="2" t="s">
        <v>36</v>
      </c>
      <c r="S174" s="25">
        <f t="shared" si="220"/>
        <v>2709276.16</v>
      </c>
      <c r="T174" s="25">
        <v>2184795.1800000002</v>
      </c>
      <c r="U174" s="25">
        <v>524480.98</v>
      </c>
      <c r="V174" s="25">
        <f t="shared" si="219"/>
        <v>0</v>
      </c>
      <c r="W174" s="25">
        <v>0</v>
      </c>
      <c r="X174" s="25">
        <v>0</v>
      </c>
      <c r="Y174" s="25">
        <f t="shared" si="221"/>
        <v>516672.34</v>
      </c>
      <c r="Z174" s="25">
        <v>385552.09</v>
      </c>
      <c r="AA174" s="25">
        <v>131120.25</v>
      </c>
      <c r="AB174" s="25">
        <f t="shared" si="222"/>
        <v>0</v>
      </c>
      <c r="AC174" s="25"/>
      <c r="AD174" s="25"/>
      <c r="AE174" s="25">
        <f t="shared" si="223"/>
        <v>3225948.5</v>
      </c>
      <c r="AF174" s="25">
        <v>0</v>
      </c>
      <c r="AG174" s="25">
        <f t="shared" si="224"/>
        <v>3225948.5</v>
      </c>
      <c r="AH174" s="28" t="s">
        <v>627</v>
      </c>
      <c r="AI174" s="41" t="s">
        <v>187</v>
      </c>
      <c r="AJ174" s="29">
        <f>38081.64+10353.53</f>
        <v>48435.17</v>
      </c>
      <c r="AK174" s="34">
        <v>0</v>
      </c>
    </row>
    <row r="175" spans="1:37" ht="267.75" x14ac:dyDescent="0.25">
      <c r="A175" s="5">
        <v>169</v>
      </c>
      <c r="B175" s="67">
        <v>119957</v>
      </c>
      <c r="C175" s="118">
        <v>136</v>
      </c>
      <c r="D175" s="2" t="s">
        <v>170</v>
      </c>
      <c r="E175" s="13" t="s">
        <v>179</v>
      </c>
      <c r="F175" s="210" t="s">
        <v>145</v>
      </c>
      <c r="G175" s="6" t="s">
        <v>146</v>
      </c>
      <c r="H175" s="6" t="s">
        <v>87</v>
      </c>
      <c r="I175" s="2" t="s">
        <v>203</v>
      </c>
      <c r="J175" s="3" t="s">
        <v>147</v>
      </c>
      <c r="K175" s="104">
        <v>43047</v>
      </c>
      <c r="L175" s="8">
        <v>43838</v>
      </c>
      <c r="M175" s="4">
        <f t="shared" si="218"/>
        <v>83.983862849270778</v>
      </c>
      <c r="N175" s="2" t="s">
        <v>155</v>
      </c>
      <c r="O175" s="2" t="s">
        <v>156</v>
      </c>
      <c r="P175" s="2" t="s">
        <v>156</v>
      </c>
      <c r="Q175" s="18" t="s">
        <v>157</v>
      </c>
      <c r="R175" s="2" t="s">
        <v>36</v>
      </c>
      <c r="S175" s="25">
        <f t="shared" si="220"/>
        <v>30804926.539999999</v>
      </c>
      <c r="T175" s="25">
        <v>24841489.370000001</v>
      </c>
      <c r="U175" s="25">
        <v>5963437.1699999999</v>
      </c>
      <c r="V175" s="25">
        <f t="shared" si="219"/>
        <v>0</v>
      </c>
      <c r="W175" s="25">
        <v>0</v>
      </c>
      <c r="X175" s="25">
        <v>0</v>
      </c>
      <c r="Y175" s="25">
        <f t="shared" si="221"/>
        <v>5874651.5300000003</v>
      </c>
      <c r="Z175" s="25">
        <v>4383792.24</v>
      </c>
      <c r="AA175" s="25">
        <v>1490859.29</v>
      </c>
      <c r="AB175" s="25">
        <f t="shared" si="222"/>
        <v>0</v>
      </c>
      <c r="AC175" s="25"/>
      <c r="AD175" s="25"/>
      <c r="AE175" s="25">
        <f t="shared" si="223"/>
        <v>36679578.07</v>
      </c>
      <c r="AF175" s="25">
        <v>0</v>
      </c>
      <c r="AG175" s="25">
        <f t="shared" si="224"/>
        <v>36679578.07</v>
      </c>
      <c r="AH175" s="28" t="s">
        <v>627</v>
      </c>
      <c r="AI175" s="41" t="s">
        <v>213</v>
      </c>
      <c r="AJ175" s="29">
        <f>279828.68+528409.7+438718.76</f>
        <v>1246957.1399999999</v>
      </c>
      <c r="AK175" s="34">
        <v>0</v>
      </c>
    </row>
    <row r="176" spans="1:37" s="211" customFormat="1" ht="204.75" x14ac:dyDescent="0.25">
      <c r="A176" s="2">
        <v>170</v>
      </c>
      <c r="B176" s="67">
        <v>118963</v>
      </c>
      <c r="C176" s="118">
        <v>34</v>
      </c>
      <c r="D176" s="2" t="s">
        <v>170</v>
      </c>
      <c r="E176" s="13" t="s">
        <v>167</v>
      </c>
      <c r="F176" s="210" t="s">
        <v>182</v>
      </c>
      <c r="G176" s="6" t="s">
        <v>105</v>
      </c>
      <c r="H176" s="6" t="s">
        <v>87</v>
      </c>
      <c r="I176" s="2" t="s">
        <v>594</v>
      </c>
      <c r="J176" s="3" t="s">
        <v>106</v>
      </c>
      <c r="K176" s="104">
        <v>42629</v>
      </c>
      <c r="L176" s="8">
        <v>43540</v>
      </c>
      <c r="M176" s="4">
        <f t="shared" si="218"/>
        <v>83.983862803496507</v>
      </c>
      <c r="N176" s="2" t="s">
        <v>155</v>
      </c>
      <c r="O176" s="2" t="s">
        <v>156</v>
      </c>
      <c r="P176" s="2" t="s">
        <v>156</v>
      </c>
      <c r="Q176" s="18" t="s">
        <v>157</v>
      </c>
      <c r="R176" s="2" t="s">
        <v>36</v>
      </c>
      <c r="S176" s="25">
        <f t="shared" si="220"/>
        <v>4117071.25</v>
      </c>
      <c r="T176" s="25">
        <v>3320059.26</v>
      </c>
      <c r="U176" s="25">
        <v>797011.99</v>
      </c>
      <c r="V176" s="25">
        <f t="shared" si="219"/>
        <v>0</v>
      </c>
      <c r="W176" s="25">
        <v>0</v>
      </c>
      <c r="X176" s="25">
        <v>0</v>
      </c>
      <c r="Y176" s="25">
        <f t="shared" si="221"/>
        <v>785145.81</v>
      </c>
      <c r="Z176" s="25">
        <v>585892.81000000006</v>
      </c>
      <c r="AA176" s="25">
        <v>199253</v>
      </c>
      <c r="AB176" s="25">
        <f t="shared" si="222"/>
        <v>0</v>
      </c>
      <c r="AC176" s="25"/>
      <c r="AD176" s="25"/>
      <c r="AE176" s="25">
        <f t="shared" si="223"/>
        <v>4902217.0600000005</v>
      </c>
      <c r="AF176" s="25">
        <v>0</v>
      </c>
      <c r="AG176" s="25">
        <f t="shared" si="224"/>
        <v>4902217.0600000005</v>
      </c>
      <c r="AH176" s="28" t="s">
        <v>627</v>
      </c>
      <c r="AI176" s="72" t="s">
        <v>189</v>
      </c>
      <c r="AJ176" s="29">
        <f>1460741.83+228438.52+391513.86+234930.38</f>
        <v>2315624.59</v>
      </c>
      <c r="AK176" s="34">
        <v>0</v>
      </c>
    </row>
    <row r="177" spans="1:37" s="211" customFormat="1" ht="141.75" x14ac:dyDescent="0.25">
      <c r="A177" s="5">
        <v>171</v>
      </c>
      <c r="B177" s="67">
        <v>118964</v>
      </c>
      <c r="C177" s="118">
        <v>35</v>
      </c>
      <c r="D177" s="2" t="s">
        <v>171</v>
      </c>
      <c r="E177" s="13" t="s">
        <v>167</v>
      </c>
      <c r="F177" s="210" t="s">
        <v>182</v>
      </c>
      <c r="G177" s="6" t="s">
        <v>107</v>
      </c>
      <c r="H177" s="6" t="s">
        <v>87</v>
      </c>
      <c r="I177" s="2" t="s">
        <v>890</v>
      </c>
      <c r="J177" s="3" t="s">
        <v>108</v>
      </c>
      <c r="K177" s="104">
        <v>42670</v>
      </c>
      <c r="L177" s="8">
        <v>43612</v>
      </c>
      <c r="M177" s="4">
        <f t="shared" si="218"/>
        <v>83.983860041638508</v>
      </c>
      <c r="N177" s="2" t="s">
        <v>155</v>
      </c>
      <c r="O177" s="2" t="s">
        <v>156</v>
      </c>
      <c r="P177" s="2" t="s">
        <v>156</v>
      </c>
      <c r="Q177" s="18" t="s">
        <v>157</v>
      </c>
      <c r="R177" s="2" t="s">
        <v>36</v>
      </c>
      <c r="S177" s="25">
        <f t="shared" si="220"/>
        <v>1279634.26</v>
      </c>
      <c r="T177" s="25">
        <v>1031913.55</v>
      </c>
      <c r="U177" s="25">
        <v>247720.71</v>
      </c>
      <c r="V177" s="25">
        <f t="shared" si="219"/>
        <v>0</v>
      </c>
      <c r="W177" s="25">
        <v>0</v>
      </c>
      <c r="X177" s="25">
        <v>0</v>
      </c>
      <c r="Y177" s="25">
        <f t="shared" si="221"/>
        <v>244032.62</v>
      </c>
      <c r="Z177" s="25">
        <v>182102.42</v>
      </c>
      <c r="AA177" s="25">
        <v>61930.2</v>
      </c>
      <c r="AB177" s="25">
        <f t="shared" si="222"/>
        <v>0</v>
      </c>
      <c r="AC177" s="25"/>
      <c r="AD177" s="25"/>
      <c r="AE177" s="25">
        <f t="shared" si="223"/>
        <v>1523666.88</v>
      </c>
      <c r="AF177" s="25">
        <v>0</v>
      </c>
      <c r="AG177" s="25">
        <f t="shared" si="224"/>
        <v>1523666.88</v>
      </c>
      <c r="AH177" s="28" t="s">
        <v>627</v>
      </c>
      <c r="AI177" s="72" t="s">
        <v>891</v>
      </c>
      <c r="AJ177" s="29">
        <f>122689.41+119337.51</f>
        <v>242026.91999999998</v>
      </c>
      <c r="AK177" s="34">
        <v>0</v>
      </c>
    </row>
    <row r="178" spans="1:37" s="211" customFormat="1" ht="141.75" x14ac:dyDescent="0.25">
      <c r="A178" s="5">
        <v>172</v>
      </c>
      <c r="B178" s="67">
        <v>119981</v>
      </c>
      <c r="C178" s="118">
        <v>36</v>
      </c>
      <c r="D178" s="2" t="s">
        <v>170</v>
      </c>
      <c r="E178" s="13" t="s">
        <v>167</v>
      </c>
      <c r="F178" s="210" t="s">
        <v>182</v>
      </c>
      <c r="G178" s="6" t="s">
        <v>109</v>
      </c>
      <c r="H178" s="6" t="s">
        <v>84</v>
      </c>
      <c r="I178" s="2" t="s">
        <v>187</v>
      </c>
      <c r="J178" s="3" t="s">
        <v>110</v>
      </c>
      <c r="K178" s="104">
        <v>42579</v>
      </c>
      <c r="L178" s="8">
        <v>43462</v>
      </c>
      <c r="M178" s="4">
        <f t="shared" si="218"/>
        <v>83.983863111728837</v>
      </c>
      <c r="N178" s="2" t="s">
        <v>155</v>
      </c>
      <c r="O178" s="2" t="s">
        <v>156</v>
      </c>
      <c r="P178" s="2" t="s">
        <v>156</v>
      </c>
      <c r="Q178" s="18" t="s">
        <v>157</v>
      </c>
      <c r="R178" s="2" t="s">
        <v>36</v>
      </c>
      <c r="S178" s="25">
        <f t="shared" si="220"/>
        <v>1627939.8599999999</v>
      </c>
      <c r="T178" s="25">
        <v>1312791.6599999999</v>
      </c>
      <c r="U178" s="25">
        <v>315148.2</v>
      </c>
      <c r="V178" s="25">
        <f t="shared" si="219"/>
        <v>0</v>
      </c>
      <c r="W178" s="25">
        <v>0</v>
      </c>
      <c r="X178" s="25">
        <v>0</v>
      </c>
      <c r="Y178" s="25">
        <f t="shared" si="221"/>
        <v>310456.15999999997</v>
      </c>
      <c r="Z178" s="25">
        <v>231669.11</v>
      </c>
      <c r="AA178" s="25">
        <v>78787.05</v>
      </c>
      <c r="AB178" s="25">
        <f t="shared" si="222"/>
        <v>0</v>
      </c>
      <c r="AC178" s="25"/>
      <c r="AD178" s="25"/>
      <c r="AE178" s="25">
        <f t="shared" si="223"/>
        <v>1938396.0199999998</v>
      </c>
      <c r="AF178" s="25">
        <v>0</v>
      </c>
      <c r="AG178" s="25">
        <f t="shared" si="224"/>
        <v>1938396.0199999998</v>
      </c>
      <c r="AH178" s="28" t="s">
        <v>1125</v>
      </c>
      <c r="AI178" s="72" t="s">
        <v>190</v>
      </c>
      <c r="AJ178" s="29">
        <f>559604.06+125761.16+33457.13+622518.23</f>
        <v>1341340.58</v>
      </c>
      <c r="AK178" s="34">
        <v>0</v>
      </c>
    </row>
    <row r="179" spans="1:37" s="211" customFormat="1" ht="189" x14ac:dyDescent="0.25">
      <c r="A179" s="2">
        <v>173</v>
      </c>
      <c r="B179" s="67">
        <v>120414</v>
      </c>
      <c r="C179" s="118">
        <v>61</v>
      </c>
      <c r="D179" s="2" t="s">
        <v>174</v>
      </c>
      <c r="E179" s="13" t="s">
        <v>167</v>
      </c>
      <c r="F179" s="210" t="s">
        <v>148</v>
      </c>
      <c r="G179" s="6" t="s">
        <v>149</v>
      </c>
      <c r="H179" s="6" t="s">
        <v>364</v>
      </c>
      <c r="I179" s="2" t="s">
        <v>202</v>
      </c>
      <c r="J179" s="3" t="s">
        <v>721</v>
      </c>
      <c r="K179" s="104">
        <v>42893</v>
      </c>
      <c r="L179" s="8">
        <v>43562</v>
      </c>
      <c r="M179" s="4">
        <f t="shared" si="218"/>
        <v>83.395347070002629</v>
      </c>
      <c r="N179" s="2" t="s">
        <v>155</v>
      </c>
      <c r="O179" s="2" t="s">
        <v>156</v>
      </c>
      <c r="P179" s="2" t="s">
        <v>156</v>
      </c>
      <c r="Q179" s="18" t="s">
        <v>157</v>
      </c>
      <c r="R179" s="2" t="s">
        <v>36</v>
      </c>
      <c r="S179" s="25">
        <f t="shared" si="220"/>
        <v>9816719.1999999993</v>
      </c>
      <c r="T179" s="25">
        <v>7916328.7599999998</v>
      </c>
      <c r="U179" s="25">
        <v>1900390.44</v>
      </c>
      <c r="V179" s="25">
        <f t="shared" si="219"/>
        <v>647352.26</v>
      </c>
      <c r="W179" s="25">
        <v>483068.28</v>
      </c>
      <c r="X179" s="25">
        <v>164283.98000000001</v>
      </c>
      <c r="Y179" s="25">
        <f t="shared" si="221"/>
        <v>1307231.79</v>
      </c>
      <c r="Z179" s="25">
        <v>979654.51000000013</v>
      </c>
      <c r="AA179" s="25">
        <v>327577.27999999997</v>
      </c>
      <c r="AB179" s="25">
        <f t="shared" si="222"/>
        <v>0</v>
      </c>
      <c r="AC179" s="25"/>
      <c r="AD179" s="25"/>
      <c r="AE179" s="25">
        <f t="shared" si="223"/>
        <v>11771303.25</v>
      </c>
      <c r="AF179" s="25">
        <v>0</v>
      </c>
      <c r="AG179" s="25">
        <f t="shared" si="224"/>
        <v>11771303.25</v>
      </c>
      <c r="AH179" s="28" t="s">
        <v>627</v>
      </c>
      <c r="AI179" s="72" t="s">
        <v>339</v>
      </c>
      <c r="AJ179" s="29">
        <v>1693123.23</v>
      </c>
      <c r="AK179" s="29">
        <v>67677.87</v>
      </c>
    </row>
    <row r="180" spans="1:37" ht="141.75" x14ac:dyDescent="0.25">
      <c r="A180" s="5">
        <v>174</v>
      </c>
      <c r="B180" s="67">
        <v>119988</v>
      </c>
      <c r="C180" s="118">
        <v>62</v>
      </c>
      <c r="D180" s="2" t="s">
        <v>163</v>
      </c>
      <c r="E180" s="13" t="s">
        <v>167</v>
      </c>
      <c r="F180" s="210" t="s">
        <v>148</v>
      </c>
      <c r="G180" s="6" t="s">
        <v>150</v>
      </c>
      <c r="H180" s="6" t="s">
        <v>116</v>
      </c>
      <c r="I180" s="213" t="s">
        <v>211</v>
      </c>
      <c r="J180" s="3" t="s">
        <v>151</v>
      </c>
      <c r="K180" s="104">
        <v>43060</v>
      </c>
      <c r="L180" s="8">
        <v>43911</v>
      </c>
      <c r="M180" s="4">
        <f t="shared" si="218"/>
        <v>83.983862836233868</v>
      </c>
      <c r="N180" s="2" t="s">
        <v>155</v>
      </c>
      <c r="O180" s="2" t="s">
        <v>156</v>
      </c>
      <c r="P180" s="2" t="s">
        <v>156</v>
      </c>
      <c r="Q180" s="18" t="s">
        <v>157</v>
      </c>
      <c r="R180" s="2" t="s">
        <v>36</v>
      </c>
      <c r="S180" s="25">
        <f t="shared" si="220"/>
        <v>3950537.5</v>
      </c>
      <c r="T180" s="25">
        <v>3185764.3</v>
      </c>
      <c r="U180" s="25">
        <v>764773.2</v>
      </c>
      <c r="V180" s="25">
        <f t="shared" si="219"/>
        <v>0</v>
      </c>
      <c r="W180" s="25">
        <v>0</v>
      </c>
      <c r="X180" s="25">
        <v>0</v>
      </c>
      <c r="Y180" s="25">
        <f t="shared" si="221"/>
        <v>753387</v>
      </c>
      <c r="Z180" s="25">
        <v>562193.69999999995</v>
      </c>
      <c r="AA180" s="25">
        <v>191193.3</v>
      </c>
      <c r="AB180" s="25">
        <f t="shared" si="222"/>
        <v>0</v>
      </c>
      <c r="AC180" s="25"/>
      <c r="AD180" s="25"/>
      <c r="AE180" s="25">
        <f t="shared" si="223"/>
        <v>4703924.5</v>
      </c>
      <c r="AF180" s="25"/>
      <c r="AG180" s="25">
        <f t="shared" si="224"/>
        <v>4703924.5</v>
      </c>
      <c r="AH180" s="28" t="s">
        <v>627</v>
      </c>
      <c r="AI180" s="72" t="s">
        <v>187</v>
      </c>
      <c r="AJ180" s="29">
        <f>143481.84+21902.16</f>
        <v>165384</v>
      </c>
      <c r="AK180" s="29">
        <v>0</v>
      </c>
    </row>
    <row r="181" spans="1:37" ht="220.5" x14ac:dyDescent="0.25">
      <c r="A181" s="5">
        <v>175</v>
      </c>
      <c r="B181" s="67">
        <v>119741</v>
      </c>
      <c r="C181" s="118">
        <v>63</v>
      </c>
      <c r="D181" s="2" t="s">
        <v>177</v>
      </c>
      <c r="E181" s="13" t="s">
        <v>167</v>
      </c>
      <c r="F181" s="210" t="s">
        <v>148</v>
      </c>
      <c r="G181" s="20" t="s">
        <v>153</v>
      </c>
      <c r="H181" s="6" t="s">
        <v>152</v>
      </c>
      <c r="I181" s="2" t="s">
        <v>187</v>
      </c>
      <c r="J181" s="3" t="s">
        <v>154</v>
      </c>
      <c r="K181" s="104">
        <v>43063</v>
      </c>
      <c r="L181" s="8">
        <v>43609</v>
      </c>
      <c r="M181" s="4">
        <f t="shared" si="218"/>
        <v>83.983862837339956</v>
      </c>
      <c r="N181" s="2" t="s">
        <v>155</v>
      </c>
      <c r="O181" s="2" t="s">
        <v>156</v>
      </c>
      <c r="P181" s="2" t="s">
        <v>156</v>
      </c>
      <c r="Q181" s="18" t="s">
        <v>157</v>
      </c>
      <c r="R181" s="2" t="s">
        <v>36</v>
      </c>
      <c r="S181" s="25">
        <f t="shared" si="220"/>
        <v>2267315.5699999998</v>
      </c>
      <c r="T181" s="25">
        <v>1828392.47</v>
      </c>
      <c r="U181" s="25">
        <v>438923.1</v>
      </c>
      <c r="V181" s="25">
        <f t="shared" si="219"/>
        <v>0</v>
      </c>
      <c r="W181" s="25">
        <v>0</v>
      </c>
      <c r="X181" s="25">
        <v>0</v>
      </c>
      <c r="Y181" s="25">
        <f t="shared" si="221"/>
        <v>432388.27</v>
      </c>
      <c r="Z181" s="25">
        <v>322657.49</v>
      </c>
      <c r="AA181" s="25">
        <v>109730.78</v>
      </c>
      <c r="AB181" s="25">
        <f t="shared" si="222"/>
        <v>0</v>
      </c>
      <c r="AC181" s="25"/>
      <c r="AD181" s="25"/>
      <c r="AE181" s="25">
        <f t="shared" si="223"/>
        <v>2699703.84</v>
      </c>
      <c r="AF181" s="25">
        <v>0</v>
      </c>
      <c r="AG181" s="25">
        <f t="shared" si="224"/>
        <v>2699703.84</v>
      </c>
      <c r="AH181" s="28" t="s">
        <v>627</v>
      </c>
      <c r="AI181" s="41" t="s">
        <v>187</v>
      </c>
      <c r="AJ181" s="29">
        <f>29668.14+28646.05+103144.15</f>
        <v>161458.34</v>
      </c>
      <c r="AK181" s="29">
        <v>0</v>
      </c>
    </row>
    <row r="182" spans="1:37" ht="126" x14ac:dyDescent="0.25">
      <c r="A182" s="2">
        <v>176</v>
      </c>
      <c r="B182" s="67">
        <v>122485</v>
      </c>
      <c r="C182" s="118">
        <v>38</v>
      </c>
      <c r="D182" s="2" t="s">
        <v>163</v>
      </c>
      <c r="E182" s="210" t="s">
        <v>162</v>
      </c>
      <c r="F182" s="210" t="s">
        <v>25</v>
      </c>
      <c r="G182" s="20" t="s">
        <v>27</v>
      </c>
      <c r="H182" s="6" t="s">
        <v>363</v>
      </c>
      <c r="I182" s="2" t="s">
        <v>187</v>
      </c>
      <c r="J182" s="3" t="s">
        <v>28</v>
      </c>
      <c r="K182" s="104">
        <v>42488</v>
      </c>
      <c r="L182" s="8">
        <v>45288</v>
      </c>
      <c r="M182" s="4">
        <f t="shared" si="218"/>
        <v>84.695097599999997</v>
      </c>
      <c r="N182" s="2" t="s">
        <v>155</v>
      </c>
      <c r="O182" s="2" t="s">
        <v>156</v>
      </c>
      <c r="P182" s="2" t="s">
        <v>156</v>
      </c>
      <c r="Q182" s="18" t="s">
        <v>157</v>
      </c>
      <c r="R182" s="2" t="s">
        <v>26</v>
      </c>
      <c r="S182" s="25">
        <f t="shared" si="220"/>
        <v>16939019.52</v>
      </c>
      <c r="T182" s="25">
        <v>15963331.810000001</v>
      </c>
      <c r="U182" s="25">
        <v>975687.71</v>
      </c>
      <c r="V182" s="25">
        <f t="shared" si="219"/>
        <v>0</v>
      </c>
      <c r="W182" s="25">
        <v>0</v>
      </c>
      <c r="X182" s="25">
        <v>0</v>
      </c>
      <c r="Y182" s="25">
        <f t="shared" si="221"/>
        <v>3060980.48</v>
      </c>
      <c r="Z182" s="25">
        <v>2817058.55</v>
      </c>
      <c r="AA182" s="25">
        <v>243921.93</v>
      </c>
      <c r="AB182" s="25">
        <f t="shared" si="222"/>
        <v>0</v>
      </c>
      <c r="AC182" s="25"/>
      <c r="AD182" s="25"/>
      <c r="AE182" s="25">
        <f t="shared" si="223"/>
        <v>20000000</v>
      </c>
      <c r="AF182" s="25">
        <v>200000</v>
      </c>
      <c r="AG182" s="25">
        <f t="shared" si="224"/>
        <v>20200000</v>
      </c>
      <c r="AH182" s="28" t="s">
        <v>627</v>
      </c>
      <c r="AI182" s="72" t="s">
        <v>1119</v>
      </c>
      <c r="AJ182" s="46">
        <f>367086.52+3723.41+1413.34</f>
        <v>372223.27</v>
      </c>
      <c r="AK182" s="47">
        <v>0</v>
      </c>
    </row>
    <row r="183" spans="1:37" ht="78.75" x14ac:dyDescent="0.25">
      <c r="A183" s="5">
        <v>177</v>
      </c>
      <c r="B183" s="67">
        <v>122484</v>
      </c>
      <c r="C183" s="118">
        <v>39</v>
      </c>
      <c r="D183" s="2" t="s">
        <v>163</v>
      </c>
      <c r="E183" s="210" t="s">
        <v>161</v>
      </c>
      <c r="F183" s="210" t="s">
        <v>25</v>
      </c>
      <c r="G183" s="20" t="s">
        <v>30</v>
      </c>
      <c r="H183" s="6" t="s">
        <v>363</v>
      </c>
      <c r="I183" s="2" t="s">
        <v>187</v>
      </c>
      <c r="J183" s="3" t="s">
        <v>31</v>
      </c>
      <c r="K183" s="104">
        <v>42488</v>
      </c>
      <c r="L183" s="8">
        <v>45288</v>
      </c>
      <c r="M183" s="4">
        <f t="shared" si="218"/>
        <v>84.695097596566526</v>
      </c>
      <c r="N183" s="2" t="s">
        <v>155</v>
      </c>
      <c r="O183" s="2" t="s">
        <v>156</v>
      </c>
      <c r="P183" s="2" t="s">
        <v>156</v>
      </c>
      <c r="Q183" s="18" t="s">
        <v>157</v>
      </c>
      <c r="R183" s="2" t="s">
        <v>29</v>
      </c>
      <c r="S183" s="25">
        <f t="shared" si="220"/>
        <v>59201873.219999999</v>
      </c>
      <c r="T183" s="25">
        <v>55791844.670000002</v>
      </c>
      <c r="U183" s="25">
        <v>3410028.55</v>
      </c>
      <c r="V183" s="25">
        <f t="shared" si="219"/>
        <v>0</v>
      </c>
      <c r="W183" s="25">
        <v>0</v>
      </c>
      <c r="X183" s="25">
        <v>0</v>
      </c>
      <c r="Y183" s="25">
        <f t="shared" si="221"/>
        <v>10698126.780000001</v>
      </c>
      <c r="Z183" s="25">
        <v>9845619.6400000006</v>
      </c>
      <c r="AA183" s="25">
        <v>852507.14</v>
      </c>
      <c r="AB183" s="25">
        <f t="shared" si="222"/>
        <v>0</v>
      </c>
      <c r="AC183" s="25"/>
      <c r="AD183" s="25"/>
      <c r="AE183" s="25">
        <f t="shared" si="223"/>
        <v>69900000</v>
      </c>
      <c r="AF183" s="25">
        <v>600000</v>
      </c>
      <c r="AG183" s="25">
        <f t="shared" si="224"/>
        <v>70500000</v>
      </c>
      <c r="AH183" s="28" t="s">
        <v>627</v>
      </c>
      <c r="AI183" s="72" t="s">
        <v>1120</v>
      </c>
      <c r="AJ183" s="29">
        <f>1614958.09+116790.02+175736.29+210865.38+813289.51</f>
        <v>2931639.29</v>
      </c>
      <c r="AK183" s="34">
        <v>0</v>
      </c>
    </row>
    <row r="184" spans="1:37" ht="63" x14ac:dyDescent="0.25">
      <c r="A184" s="5">
        <v>178</v>
      </c>
      <c r="B184" s="67">
        <v>112483</v>
      </c>
      <c r="C184" s="118">
        <v>40</v>
      </c>
      <c r="D184" s="2" t="s">
        <v>163</v>
      </c>
      <c r="E184" s="210" t="s">
        <v>161</v>
      </c>
      <c r="F184" s="210" t="s">
        <v>25</v>
      </c>
      <c r="G184" s="20" t="s">
        <v>33</v>
      </c>
      <c r="H184" s="6" t="s">
        <v>363</v>
      </c>
      <c r="I184" s="2" t="s">
        <v>187</v>
      </c>
      <c r="J184" s="3" t="s">
        <v>34</v>
      </c>
      <c r="K184" s="104">
        <v>42488</v>
      </c>
      <c r="L184" s="8">
        <v>44314</v>
      </c>
      <c r="M184" s="4">
        <f t="shared" si="218"/>
        <v>84.695097599999997</v>
      </c>
      <c r="N184" s="2" t="s">
        <v>155</v>
      </c>
      <c r="O184" s="2" t="s">
        <v>156</v>
      </c>
      <c r="P184" s="2" t="s">
        <v>156</v>
      </c>
      <c r="Q184" s="18" t="s">
        <v>157</v>
      </c>
      <c r="R184" s="2" t="s">
        <v>32</v>
      </c>
      <c r="S184" s="25">
        <f t="shared" si="220"/>
        <v>50817058.560000002</v>
      </c>
      <c r="T184" s="25">
        <v>47889995.43</v>
      </c>
      <c r="U184" s="25">
        <v>2927063.13</v>
      </c>
      <c r="V184" s="25">
        <f t="shared" si="219"/>
        <v>0</v>
      </c>
      <c r="W184" s="25">
        <v>0</v>
      </c>
      <c r="X184" s="25">
        <v>0</v>
      </c>
      <c r="Y184" s="25">
        <f t="shared" si="221"/>
        <v>9182941.4399999995</v>
      </c>
      <c r="Z184" s="25">
        <v>8451175.6600000001</v>
      </c>
      <c r="AA184" s="25">
        <v>731765.78</v>
      </c>
      <c r="AB184" s="25">
        <f t="shared" si="222"/>
        <v>0</v>
      </c>
      <c r="AC184" s="25"/>
      <c r="AD184" s="25"/>
      <c r="AE184" s="25">
        <f t="shared" si="223"/>
        <v>60000000</v>
      </c>
      <c r="AF184" s="25">
        <v>1936000</v>
      </c>
      <c r="AG184" s="25">
        <f t="shared" si="224"/>
        <v>61936000</v>
      </c>
      <c r="AH184" s="28" t="s">
        <v>627</v>
      </c>
      <c r="AI184" s="72" t="s">
        <v>215</v>
      </c>
      <c r="AJ184" s="29">
        <f>18028067.88+2522724.79+2940219.11+5150825.51+1054081.31</f>
        <v>29695918.599999998</v>
      </c>
      <c r="AK184" s="34">
        <v>0</v>
      </c>
    </row>
    <row r="185" spans="1:37" ht="409.5" x14ac:dyDescent="0.25">
      <c r="A185" s="2">
        <v>179</v>
      </c>
      <c r="B185" s="67">
        <v>109937</v>
      </c>
      <c r="C185" s="118">
        <v>162</v>
      </c>
      <c r="D185" s="2" t="s">
        <v>176</v>
      </c>
      <c r="E185" s="13" t="s">
        <v>165</v>
      </c>
      <c r="F185" s="119" t="s">
        <v>357</v>
      </c>
      <c r="G185" s="20" t="s">
        <v>560</v>
      </c>
      <c r="H185" s="6" t="s">
        <v>358</v>
      </c>
      <c r="I185" s="2" t="s">
        <v>187</v>
      </c>
      <c r="J185" s="51" t="s">
        <v>561</v>
      </c>
      <c r="K185" s="104">
        <v>43173</v>
      </c>
      <c r="L185" s="8">
        <v>43660</v>
      </c>
      <c r="M185" s="4">
        <f t="shared" si="218"/>
        <v>82.304184778160604</v>
      </c>
      <c r="N185" s="2" t="s">
        <v>359</v>
      </c>
      <c r="O185" s="2" t="s">
        <v>347</v>
      </c>
      <c r="P185" s="2" t="s">
        <v>360</v>
      </c>
      <c r="Q185" s="23" t="s">
        <v>361</v>
      </c>
      <c r="R185" s="2" t="s">
        <v>36</v>
      </c>
      <c r="S185" s="25">
        <f t="shared" si="220"/>
        <v>762655.8600000001</v>
      </c>
      <c r="T185" s="25">
        <v>147617.44</v>
      </c>
      <c r="U185" s="25">
        <v>615038.42000000004</v>
      </c>
      <c r="V185" s="25">
        <f t="shared" si="219"/>
        <v>145442.25</v>
      </c>
      <c r="W185" s="25">
        <v>36906.06</v>
      </c>
      <c r="X185" s="25">
        <v>108536.19</v>
      </c>
      <c r="Y185" s="25">
        <f t="shared" si="221"/>
        <v>0</v>
      </c>
      <c r="Z185" s="25"/>
      <c r="AA185" s="25"/>
      <c r="AB185" s="25">
        <f t="shared" si="222"/>
        <v>18532.61</v>
      </c>
      <c r="AC185" s="25">
        <v>3765.78</v>
      </c>
      <c r="AD185" s="25">
        <v>14766.83</v>
      </c>
      <c r="AE185" s="25">
        <f t="shared" si="223"/>
        <v>926630.72000000009</v>
      </c>
      <c r="AF185" s="25">
        <v>0</v>
      </c>
      <c r="AG185" s="25">
        <f t="shared" si="224"/>
        <v>926630.72000000009</v>
      </c>
      <c r="AH185" s="28" t="s">
        <v>627</v>
      </c>
      <c r="AI185" s="72"/>
      <c r="AJ185" s="29">
        <f>340951.1+52774.1</f>
        <v>393725.19999999995</v>
      </c>
      <c r="AK185" s="29">
        <f>47349.74+21861.72</f>
        <v>69211.459999999992</v>
      </c>
    </row>
    <row r="186" spans="1:37" ht="141.75" x14ac:dyDescent="0.25">
      <c r="A186" s="5">
        <v>180</v>
      </c>
      <c r="B186" s="67">
        <v>120769</v>
      </c>
      <c r="C186" s="118">
        <v>96</v>
      </c>
      <c r="D186" s="2" t="s">
        <v>170</v>
      </c>
      <c r="E186" s="7" t="s">
        <v>1018</v>
      </c>
      <c r="F186" s="119" t="s">
        <v>366</v>
      </c>
      <c r="G186" s="20" t="s">
        <v>378</v>
      </c>
      <c r="H186" s="6" t="s">
        <v>377</v>
      </c>
      <c r="I186" s="13" t="s">
        <v>379</v>
      </c>
      <c r="J186" s="51" t="s">
        <v>380</v>
      </c>
      <c r="K186" s="104">
        <v>43186</v>
      </c>
      <c r="L186" s="8">
        <v>43673</v>
      </c>
      <c r="M186" s="4">
        <f t="shared" si="218"/>
        <v>84.154097257132506</v>
      </c>
      <c r="N186" s="2" t="s">
        <v>155</v>
      </c>
      <c r="O186" s="2" t="s">
        <v>381</v>
      </c>
      <c r="P186" s="2" t="s">
        <v>381</v>
      </c>
      <c r="Q186" s="23" t="s">
        <v>216</v>
      </c>
      <c r="R186" s="2" t="s">
        <v>36</v>
      </c>
      <c r="S186" s="25">
        <f t="shared" si="220"/>
        <v>357519.4</v>
      </c>
      <c r="T186" s="25">
        <v>357519.4</v>
      </c>
      <c r="U186" s="25">
        <v>0</v>
      </c>
      <c r="V186" s="25">
        <f t="shared" si="219"/>
        <v>58822.79</v>
      </c>
      <c r="W186" s="25">
        <v>58822.79</v>
      </c>
      <c r="X186" s="25">
        <v>0</v>
      </c>
      <c r="Y186" s="25">
        <f t="shared" si="221"/>
        <v>8496.7800000000007</v>
      </c>
      <c r="Z186" s="25">
        <v>8496.7800000000007</v>
      </c>
      <c r="AA186" s="25">
        <v>0</v>
      </c>
      <c r="AB186" s="25">
        <f t="shared" si="222"/>
        <v>0</v>
      </c>
      <c r="AC186" s="25"/>
      <c r="AD186" s="25"/>
      <c r="AE186" s="25">
        <f t="shared" si="223"/>
        <v>424838.97000000003</v>
      </c>
      <c r="AF186" s="25">
        <v>0</v>
      </c>
      <c r="AG186" s="25">
        <f t="shared" si="224"/>
        <v>424838.97000000003</v>
      </c>
      <c r="AH186" s="28" t="s">
        <v>627</v>
      </c>
      <c r="AI186" s="72" t="s">
        <v>187</v>
      </c>
      <c r="AJ186" s="39">
        <f>91004.83+54990.03-2852.81</f>
        <v>143142.04999999999</v>
      </c>
      <c r="AK186" s="29">
        <f>8258.02+14527.48</f>
        <v>22785.5</v>
      </c>
    </row>
    <row r="187" spans="1:37" ht="195" x14ac:dyDescent="0.25">
      <c r="A187" s="5">
        <v>181</v>
      </c>
      <c r="B187" s="67">
        <v>121622</v>
      </c>
      <c r="C187" s="118">
        <v>99</v>
      </c>
      <c r="D187" s="2" t="s">
        <v>170</v>
      </c>
      <c r="E187" s="7" t="s">
        <v>1018</v>
      </c>
      <c r="F187" s="119" t="s">
        <v>366</v>
      </c>
      <c r="G187" s="20" t="s">
        <v>383</v>
      </c>
      <c r="H187" s="6" t="s">
        <v>388</v>
      </c>
      <c r="I187" s="13" t="s">
        <v>385</v>
      </c>
      <c r="J187" s="51" t="s">
        <v>382</v>
      </c>
      <c r="K187" s="104">
        <v>43188</v>
      </c>
      <c r="L187" s="8">
        <v>43553</v>
      </c>
      <c r="M187" s="4">
        <f t="shared" si="218"/>
        <v>84.999999426373932</v>
      </c>
      <c r="N187" s="2" t="s">
        <v>155</v>
      </c>
      <c r="O187" s="2" t="s">
        <v>390</v>
      </c>
      <c r="P187" s="2" t="s">
        <v>390</v>
      </c>
      <c r="Q187" s="23" t="s">
        <v>216</v>
      </c>
      <c r="R187" s="2" t="s">
        <v>36</v>
      </c>
      <c r="S187" s="25">
        <f t="shared" si="220"/>
        <v>444540.46</v>
      </c>
      <c r="T187" s="25">
        <v>444540.46</v>
      </c>
      <c r="U187" s="25">
        <v>0</v>
      </c>
      <c r="V187" s="25">
        <f t="shared" si="219"/>
        <v>67988.539999999994</v>
      </c>
      <c r="W187" s="25">
        <v>67988.539999999994</v>
      </c>
      <c r="X187" s="25">
        <v>0</v>
      </c>
      <c r="Y187" s="25">
        <f t="shared" si="221"/>
        <v>10459.780000000001</v>
      </c>
      <c r="Z187" s="26">
        <v>10459.780000000001</v>
      </c>
      <c r="AA187" s="25">
        <v>0</v>
      </c>
      <c r="AB187" s="25">
        <f t="shared" si="222"/>
        <v>0</v>
      </c>
      <c r="AC187" s="25"/>
      <c r="AD187" s="25"/>
      <c r="AE187" s="25">
        <f t="shared" si="223"/>
        <v>522988.78</v>
      </c>
      <c r="AF187" s="25">
        <v>0</v>
      </c>
      <c r="AG187" s="25">
        <f t="shared" si="224"/>
        <v>522988.78</v>
      </c>
      <c r="AH187" s="28" t="s">
        <v>627</v>
      </c>
      <c r="AI187" s="72" t="s">
        <v>187</v>
      </c>
      <c r="AJ187" s="39">
        <f>14488.25+50968.69+59419.29+14618.26</f>
        <v>139494.49000000002</v>
      </c>
      <c r="AK187" s="29">
        <f>2215.85+7795.21+9087.66+2235.73</f>
        <v>21334.45</v>
      </c>
    </row>
    <row r="188" spans="1:37" ht="180" x14ac:dyDescent="0.25">
      <c r="A188" s="2">
        <v>182</v>
      </c>
      <c r="B188" s="67">
        <v>121536</v>
      </c>
      <c r="C188" s="118">
        <v>102</v>
      </c>
      <c r="D188" s="2" t="s">
        <v>170</v>
      </c>
      <c r="E188" s="7" t="s">
        <v>1018</v>
      </c>
      <c r="F188" s="119" t="s">
        <v>366</v>
      </c>
      <c r="G188" s="20" t="s">
        <v>387</v>
      </c>
      <c r="H188" s="6" t="s">
        <v>384</v>
      </c>
      <c r="I188" s="13" t="s">
        <v>385</v>
      </c>
      <c r="J188" s="51" t="s">
        <v>391</v>
      </c>
      <c r="K188" s="104">
        <v>43186</v>
      </c>
      <c r="L188" s="8">
        <v>43643</v>
      </c>
      <c r="M188" s="4">
        <f t="shared" si="218"/>
        <v>85.000000246407055</v>
      </c>
      <c r="N188" s="2" t="s">
        <v>155</v>
      </c>
      <c r="O188" s="2" t="s">
        <v>386</v>
      </c>
      <c r="P188" s="2" t="s">
        <v>386</v>
      </c>
      <c r="Q188" s="23" t="s">
        <v>216</v>
      </c>
      <c r="R188" s="2" t="s">
        <v>36</v>
      </c>
      <c r="S188" s="25">
        <f t="shared" si="220"/>
        <v>344957.66</v>
      </c>
      <c r="T188" s="25">
        <v>344957.66</v>
      </c>
      <c r="U188" s="25">
        <v>0</v>
      </c>
      <c r="V188" s="25">
        <f t="shared" si="219"/>
        <v>52758.23</v>
      </c>
      <c r="W188" s="25">
        <v>52758.23</v>
      </c>
      <c r="X188" s="25">
        <v>0</v>
      </c>
      <c r="Y188" s="25">
        <f t="shared" si="221"/>
        <v>8116.65</v>
      </c>
      <c r="Z188" s="25">
        <v>8116.65</v>
      </c>
      <c r="AA188" s="25">
        <v>0</v>
      </c>
      <c r="AB188" s="25">
        <f t="shared" si="222"/>
        <v>0</v>
      </c>
      <c r="AC188" s="25"/>
      <c r="AD188" s="25"/>
      <c r="AE188" s="25">
        <f t="shared" si="223"/>
        <v>405832.54</v>
      </c>
      <c r="AF188" s="25">
        <v>0</v>
      </c>
      <c r="AG188" s="25">
        <f t="shared" si="224"/>
        <v>405832.54</v>
      </c>
      <c r="AH188" s="28" t="s">
        <v>627</v>
      </c>
      <c r="AI188" s="72" t="s">
        <v>187</v>
      </c>
      <c r="AJ188" s="39">
        <f>28255.24+60713.8</f>
        <v>88969.040000000008</v>
      </c>
      <c r="AK188" s="29">
        <f>4321.39+9285.64</f>
        <v>13607.029999999999</v>
      </c>
    </row>
    <row r="189" spans="1:37" ht="236.25" x14ac:dyDescent="0.25">
      <c r="A189" s="5">
        <v>183</v>
      </c>
      <c r="B189" s="67">
        <v>112093</v>
      </c>
      <c r="C189" s="118">
        <v>344</v>
      </c>
      <c r="D189" s="2" t="s">
        <v>177</v>
      </c>
      <c r="E189" s="13" t="s">
        <v>165</v>
      </c>
      <c r="F189" s="135" t="s">
        <v>357</v>
      </c>
      <c r="G189" s="20" t="s">
        <v>397</v>
      </c>
      <c r="H189" s="20" t="s">
        <v>398</v>
      </c>
      <c r="I189" s="13" t="s">
        <v>385</v>
      </c>
      <c r="J189" s="11" t="s">
        <v>562</v>
      </c>
      <c r="K189" s="104">
        <v>43188</v>
      </c>
      <c r="L189" s="8">
        <v>43553</v>
      </c>
      <c r="M189" s="4">
        <f t="shared" si="218"/>
        <v>82.304184346141142</v>
      </c>
      <c r="N189" s="2" t="s">
        <v>359</v>
      </c>
      <c r="O189" s="2" t="s">
        <v>399</v>
      </c>
      <c r="P189" s="2" t="s">
        <v>399</v>
      </c>
      <c r="Q189" s="23" t="s">
        <v>361</v>
      </c>
      <c r="R189" s="13" t="s">
        <v>36</v>
      </c>
      <c r="S189" s="25">
        <f t="shared" si="220"/>
        <v>624137.28</v>
      </c>
      <c r="T189" s="25">
        <v>503312.34</v>
      </c>
      <c r="U189" s="25">
        <v>120824.94</v>
      </c>
      <c r="V189" s="25">
        <f t="shared" si="219"/>
        <v>119026.06000000001</v>
      </c>
      <c r="W189" s="25">
        <v>88819.82</v>
      </c>
      <c r="X189" s="25">
        <v>30206.240000000002</v>
      </c>
      <c r="Y189" s="25">
        <f t="shared" si="221"/>
        <v>0</v>
      </c>
      <c r="Z189" s="25"/>
      <c r="AA189" s="25"/>
      <c r="AB189" s="25">
        <f t="shared" si="222"/>
        <v>15166.61</v>
      </c>
      <c r="AC189" s="25">
        <v>12084.34</v>
      </c>
      <c r="AD189" s="25">
        <v>3082.27</v>
      </c>
      <c r="AE189" s="25">
        <f t="shared" si="223"/>
        <v>758329.95000000007</v>
      </c>
      <c r="AF189" s="25">
        <v>0</v>
      </c>
      <c r="AG189" s="25">
        <f t="shared" si="224"/>
        <v>758329.95000000007</v>
      </c>
      <c r="AH189" s="28" t="s">
        <v>627</v>
      </c>
      <c r="AI189" s="72" t="s">
        <v>389</v>
      </c>
      <c r="AJ189" s="29">
        <f>281863.03+67706.32-7048.99</f>
        <v>342520.36000000004</v>
      </c>
      <c r="AK189" s="29">
        <f>53450.47+7048.99</f>
        <v>60499.46</v>
      </c>
    </row>
    <row r="190" spans="1:37" ht="252" x14ac:dyDescent="0.25">
      <c r="A190" s="5">
        <v>184</v>
      </c>
      <c r="B190" s="67">
        <v>110829</v>
      </c>
      <c r="C190" s="118">
        <v>345</v>
      </c>
      <c r="D190" s="2" t="s">
        <v>177</v>
      </c>
      <c r="E190" s="13" t="s">
        <v>165</v>
      </c>
      <c r="F190" s="135" t="s">
        <v>357</v>
      </c>
      <c r="G190" s="20" t="s">
        <v>400</v>
      </c>
      <c r="H190" s="20" t="s">
        <v>401</v>
      </c>
      <c r="I190" s="13" t="s">
        <v>187</v>
      </c>
      <c r="J190" s="11" t="s">
        <v>402</v>
      </c>
      <c r="K190" s="104">
        <v>43188</v>
      </c>
      <c r="L190" s="8">
        <v>43675</v>
      </c>
      <c r="M190" s="4">
        <f t="shared" si="218"/>
        <v>82.304186026137842</v>
      </c>
      <c r="N190" s="2" t="s">
        <v>359</v>
      </c>
      <c r="O190" s="2" t="s">
        <v>399</v>
      </c>
      <c r="P190" s="2" t="s">
        <v>399</v>
      </c>
      <c r="Q190" s="23" t="s">
        <v>361</v>
      </c>
      <c r="R190" s="13" t="s">
        <v>36</v>
      </c>
      <c r="S190" s="25">
        <f t="shared" si="220"/>
        <v>757586.23</v>
      </c>
      <c r="T190" s="25">
        <v>610927.28</v>
      </c>
      <c r="U190" s="25">
        <v>146658.95000000001</v>
      </c>
      <c r="V190" s="25">
        <f t="shared" si="219"/>
        <v>144475.43</v>
      </c>
      <c r="W190" s="25">
        <v>107810.7</v>
      </c>
      <c r="X190" s="25">
        <v>36664.730000000003</v>
      </c>
      <c r="Y190" s="25">
        <f t="shared" si="221"/>
        <v>0</v>
      </c>
      <c r="Z190" s="25"/>
      <c r="AA190" s="25"/>
      <c r="AB190" s="25">
        <f t="shared" si="222"/>
        <v>18409.420000000002</v>
      </c>
      <c r="AC190" s="25">
        <v>14668.12</v>
      </c>
      <c r="AD190" s="25">
        <v>3741.3</v>
      </c>
      <c r="AE190" s="25">
        <f t="shared" si="223"/>
        <v>920471.08</v>
      </c>
      <c r="AF190" s="25">
        <v>0</v>
      </c>
      <c r="AG190" s="25">
        <f t="shared" si="224"/>
        <v>920471.08</v>
      </c>
      <c r="AH190" s="28" t="s">
        <v>627</v>
      </c>
      <c r="AI190" s="72" t="s">
        <v>389</v>
      </c>
      <c r="AJ190" s="29">
        <f>89285.71-11964.69+140134-555.33+108178.82</f>
        <v>325078.51</v>
      </c>
      <c r="AK190" s="29">
        <f>11964.69+11960.22+17298.63+11541.66</f>
        <v>52765.2</v>
      </c>
    </row>
    <row r="191" spans="1:37" ht="189" x14ac:dyDescent="0.25">
      <c r="A191" s="2">
        <v>185</v>
      </c>
      <c r="B191" s="67">
        <v>111077</v>
      </c>
      <c r="C191" s="118">
        <v>352</v>
      </c>
      <c r="D191" s="2" t="s">
        <v>177</v>
      </c>
      <c r="E191" s="13" t="s">
        <v>165</v>
      </c>
      <c r="F191" s="135" t="s">
        <v>357</v>
      </c>
      <c r="G191" s="20" t="s">
        <v>403</v>
      </c>
      <c r="H191" s="20" t="s">
        <v>404</v>
      </c>
      <c r="I191" s="13" t="s">
        <v>187</v>
      </c>
      <c r="J191" s="11" t="s">
        <v>405</v>
      </c>
      <c r="K191" s="104">
        <v>43188</v>
      </c>
      <c r="L191" s="8">
        <v>43675</v>
      </c>
      <c r="M191" s="4">
        <f t="shared" si="218"/>
        <v>82.304186243592014</v>
      </c>
      <c r="N191" s="2" t="s">
        <v>359</v>
      </c>
      <c r="O191" s="2" t="s">
        <v>399</v>
      </c>
      <c r="P191" s="2" t="s">
        <v>399</v>
      </c>
      <c r="Q191" s="23" t="s">
        <v>361</v>
      </c>
      <c r="R191" s="13" t="s">
        <v>36</v>
      </c>
      <c r="S191" s="25">
        <f t="shared" si="220"/>
        <v>704316.51</v>
      </c>
      <c r="T191" s="25">
        <v>567969.9</v>
      </c>
      <c r="U191" s="25">
        <v>136346.60999999999</v>
      </c>
      <c r="V191" s="25">
        <f t="shared" si="219"/>
        <v>134316.63</v>
      </c>
      <c r="W191" s="26">
        <v>100229.98</v>
      </c>
      <c r="X191" s="26">
        <v>34086.65</v>
      </c>
      <c r="Y191" s="25">
        <f t="shared" si="221"/>
        <v>0</v>
      </c>
      <c r="Z191" s="25"/>
      <c r="AA191" s="25"/>
      <c r="AB191" s="25">
        <f t="shared" si="222"/>
        <v>17114.96</v>
      </c>
      <c r="AC191" s="25">
        <v>13636.73</v>
      </c>
      <c r="AD191" s="25">
        <v>3478.23</v>
      </c>
      <c r="AE191" s="25">
        <f t="shared" si="223"/>
        <v>855748.1</v>
      </c>
      <c r="AF191" s="25"/>
      <c r="AG191" s="25">
        <f t="shared" si="224"/>
        <v>855748.1</v>
      </c>
      <c r="AH191" s="28" t="s">
        <v>627</v>
      </c>
      <c r="AI191" s="72" t="s">
        <v>389</v>
      </c>
      <c r="AJ191" s="29">
        <f>85000+43282.16-11040.21+106472.55</f>
        <v>223714.5</v>
      </c>
      <c r="AK191" s="29">
        <f>8254.12+14104.5+20304.84</f>
        <v>42663.460000000006</v>
      </c>
    </row>
    <row r="192" spans="1:37" ht="236.25" x14ac:dyDescent="0.25">
      <c r="A192" s="5">
        <v>186</v>
      </c>
      <c r="B192" s="67">
        <v>111631</v>
      </c>
      <c r="C192" s="118">
        <v>170</v>
      </c>
      <c r="D192" s="2" t="s">
        <v>172</v>
      </c>
      <c r="E192" s="13" t="s">
        <v>165</v>
      </c>
      <c r="F192" s="135" t="s">
        <v>357</v>
      </c>
      <c r="G192" s="20" t="s">
        <v>406</v>
      </c>
      <c r="H192" s="20" t="s">
        <v>407</v>
      </c>
      <c r="I192" s="84" t="s">
        <v>408</v>
      </c>
      <c r="J192" s="11" t="s">
        <v>563</v>
      </c>
      <c r="K192" s="104">
        <v>43189</v>
      </c>
      <c r="L192" s="8">
        <v>43676</v>
      </c>
      <c r="M192" s="4">
        <f t="shared" si="218"/>
        <v>82.304185177297953</v>
      </c>
      <c r="N192" s="2" t="s">
        <v>359</v>
      </c>
      <c r="O192" s="2" t="s">
        <v>399</v>
      </c>
      <c r="P192" s="2" t="s">
        <v>399</v>
      </c>
      <c r="Q192" s="23" t="s">
        <v>361</v>
      </c>
      <c r="R192" s="13" t="s">
        <v>36</v>
      </c>
      <c r="S192" s="25">
        <f t="shared" si="220"/>
        <v>822209.74</v>
      </c>
      <c r="T192" s="25">
        <v>663040.52</v>
      </c>
      <c r="U192" s="25">
        <v>159169.22</v>
      </c>
      <c r="V192" s="25">
        <f t="shared" si="219"/>
        <v>156799.45000000001</v>
      </c>
      <c r="W192" s="25">
        <v>39792.300000000003</v>
      </c>
      <c r="X192" s="25">
        <v>117007.15</v>
      </c>
      <c r="Y192" s="25">
        <f t="shared" si="221"/>
        <v>0</v>
      </c>
      <c r="Z192" s="25"/>
      <c r="AA192" s="25"/>
      <c r="AB192" s="25">
        <f t="shared" si="222"/>
        <v>19979.79</v>
      </c>
      <c r="AC192" s="25">
        <v>15919.35</v>
      </c>
      <c r="AD192" s="25">
        <v>4060.44</v>
      </c>
      <c r="AE192" s="25">
        <f t="shared" si="223"/>
        <v>998988.98</v>
      </c>
      <c r="AF192" s="25"/>
      <c r="AG192" s="25">
        <f t="shared" si="224"/>
        <v>998988.98</v>
      </c>
      <c r="AH192" s="28" t="s">
        <v>627</v>
      </c>
      <c r="AI192" s="72" t="s">
        <v>389</v>
      </c>
      <c r="AJ192" s="29">
        <f>99898.9+20257.44+82739.46+65227.91+122865.84</f>
        <v>390989.54999999993</v>
      </c>
      <c r="AK192" s="29">
        <f>3863.19+15778.83+29070.82+6799.58</f>
        <v>55512.42</v>
      </c>
    </row>
    <row r="193" spans="1:37" ht="141.75" x14ac:dyDescent="0.25">
      <c r="A193" s="5">
        <v>187</v>
      </c>
      <c r="B193" s="67">
        <v>112405</v>
      </c>
      <c r="C193" s="118">
        <v>171</v>
      </c>
      <c r="D193" s="2" t="s">
        <v>172</v>
      </c>
      <c r="E193" s="13" t="s">
        <v>165</v>
      </c>
      <c r="F193" s="135" t="s">
        <v>357</v>
      </c>
      <c r="G193" s="20" t="s">
        <v>409</v>
      </c>
      <c r="H193" s="20" t="s">
        <v>410</v>
      </c>
      <c r="I193" s="84" t="s">
        <v>411</v>
      </c>
      <c r="J193" s="11" t="s">
        <v>433</v>
      </c>
      <c r="K193" s="104">
        <v>43186</v>
      </c>
      <c r="L193" s="8">
        <v>43673</v>
      </c>
      <c r="M193" s="4">
        <f t="shared" si="218"/>
        <v>82.304185365731513</v>
      </c>
      <c r="N193" s="2" t="s">
        <v>359</v>
      </c>
      <c r="O193" s="2" t="s">
        <v>399</v>
      </c>
      <c r="P193" s="2" t="s">
        <v>399</v>
      </c>
      <c r="Q193" s="23" t="s">
        <v>361</v>
      </c>
      <c r="R193" s="13" t="s">
        <v>36</v>
      </c>
      <c r="S193" s="25">
        <f t="shared" si="220"/>
        <v>723131.98</v>
      </c>
      <c r="T193" s="25">
        <v>583142.93999999994</v>
      </c>
      <c r="U193" s="25">
        <v>139989.04</v>
      </c>
      <c r="V193" s="25">
        <f t="shared" si="219"/>
        <v>137904.84</v>
      </c>
      <c r="W193" s="25">
        <v>102907.58</v>
      </c>
      <c r="X193" s="25">
        <v>34997.26</v>
      </c>
      <c r="Y193" s="25">
        <f t="shared" si="221"/>
        <v>0</v>
      </c>
      <c r="Z193" s="25"/>
      <c r="AA193" s="25"/>
      <c r="AB193" s="25">
        <f t="shared" si="222"/>
        <v>17572.18</v>
      </c>
      <c r="AC193" s="25">
        <v>14001.03</v>
      </c>
      <c r="AD193" s="25">
        <v>3571.15</v>
      </c>
      <c r="AE193" s="25">
        <f t="shared" si="223"/>
        <v>878609</v>
      </c>
      <c r="AF193" s="25"/>
      <c r="AG193" s="25">
        <f t="shared" si="224"/>
        <v>878609</v>
      </c>
      <c r="AH193" s="28" t="s">
        <v>627</v>
      </c>
      <c r="AI193" s="72"/>
      <c r="AJ193" s="29">
        <f>208329.69+72239-12893.42</f>
        <v>267675.27</v>
      </c>
      <c r="AK193" s="29">
        <f>36750.34+12893.42</f>
        <v>49643.759999999995</v>
      </c>
    </row>
    <row r="194" spans="1:37" ht="141.75" x14ac:dyDescent="0.25">
      <c r="A194" s="2">
        <v>188</v>
      </c>
      <c r="B194" s="67">
        <v>109810</v>
      </c>
      <c r="C194" s="118">
        <v>257</v>
      </c>
      <c r="D194" s="2" t="s">
        <v>175</v>
      </c>
      <c r="E194" s="13" t="s">
        <v>165</v>
      </c>
      <c r="F194" s="135" t="s">
        <v>357</v>
      </c>
      <c r="G194" s="20" t="s">
        <v>412</v>
      </c>
      <c r="H194" s="20" t="s">
        <v>413</v>
      </c>
      <c r="I194" s="13" t="s">
        <v>187</v>
      </c>
      <c r="J194" s="11" t="s">
        <v>420</v>
      </c>
      <c r="K194" s="104">
        <v>43192</v>
      </c>
      <c r="L194" s="8">
        <v>43679</v>
      </c>
      <c r="M194" s="4">
        <f t="shared" si="218"/>
        <v>82.304188283311021</v>
      </c>
      <c r="N194" s="2" t="s">
        <v>359</v>
      </c>
      <c r="O194" s="2" t="s">
        <v>399</v>
      </c>
      <c r="P194" s="2" t="s">
        <v>399</v>
      </c>
      <c r="Q194" s="23" t="s">
        <v>361</v>
      </c>
      <c r="R194" s="13" t="s">
        <v>36</v>
      </c>
      <c r="S194" s="25">
        <f t="shared" si="220"/>
        <v>821139.01</v>
      </c>
      <c r="T194" s="26">
        <v>662177.06999999995</v>
      </c>
      <c r="U194" s="26">
        <v>158961.94</v>
      </c>
      <c r="V194" s="25">
        <f t="shared" si="219"/>
        <v>156595.26</v>
      </c>
      <c r="W194" s="26">
        <v>116854.78</v>
      </c>
      <c r="X194" s="26">
        <v>39740.480000000003</v>
      </c>
      <c r="Y194" s="25">
        <f t="shared" si="221"/>
        <v>0</v>
      </c>
      <c r="Z194" s="25"/>
      <c r="AA194" s="25"/>
      <c r="AB194" s="25">
        <f t="shared" si="222"/>
        <v>19953.73</v>
      </c>
      <c r="AC194" s="25">
        <v>15898.58</v>
      </c>
      <c r="AD194" s="25">
        <v>4055.15</v>
      </c>
      <c r="AE194" s="25">
        <f t="shared" si="223"/>
        <v>997688</v>
      </c>
      <c r="AF194" s="25"/>
      <c r="AG194" s="25">
        <f t="shared" si="224"/>
        <v>997688</v>
      </c>
      <c r="AH194" s="28" t="s">
        <v>627</v>
      </c>
      <c r="AI194" s="72"/>
      <c r="AJ194" s="29">
        <f>311274.3+94352.8-8733.69</f>
        <v>396893.41</v>
      </c>
      <c r="AK194" s="29">
        <f>40335.29+17993.54+8733.69</f>
        <v>67062.52</v>
      </c>
    </row>
    <row r="195" spans="1:37" ht="141.75" x14ac:dyDescent="0.25">
      <c r="A195" s="5">
        <v>189</v>
      </c>
      <c r="B195" s="67">
        <v>112956</v>
      </c>
      <c r="C195" s="118">
        <v>273</v>
      </c>
      <c r="D195" s="2" t="s">
        <v>174</v>
      </c>
      <c r="E195" s="13" t="s">
        <v>165</v>
      </c>
      <c r="F195" s="135" t="s">
        <v>357</v>
      </c>
      <c r="G195" s="20" t="s">
        <v>414</v>
      </c>
      <c r="H195" s="214" t="s">
        <v>415</v>
      </c>
      <c r="I195" s="84" t="s">
        <v>416</v>
      </c>
      <c r="J195" s="11" t="s">
        <v>564</v>
      </c>
      <c r="K195" s="104">
        <v>43192</v>
      </c>
      <c r="L195" s="8">
        <v>43679</v>
      </c>
      <c r="M195" s="4">
        <f t="shared" si="218"/>
        <v>82.3041866136534</v>
      </c>
      <c r="N195" s="2" t="s">
        <v>359</v>
      </c>
      <c r="O195" s="2" t="s">
        <v>399</v>
      </c>
      <c r="P195" s="2" t="s">
        <v>399</v>
      </c>
      <c r="Q195" s="23" t="s">
        <v>361</v>
      </c>
      <c r="R195" s="13" t="s">
        <v>36</v>
      </c>
      <c r="S195" s="25">
        <f t="shared" si="220"/>
        <v>710350.48</v>
      </c>
      <c r="T195" s="25">
        <v>572835.77</v>
      </c>
      <c r="U195" s="25">
        <v>137514.71</v>
      </c>
      <c r="V195" s="25">
        <f t="shared" si="219"/>
        <v>135467.34</v>
      </c>
      <c r="W195" s="25">
        <v>101088.67</v>
      </c>
      <c r="X195" s="25">
        <v>34378.67</v>
      </c>
      <c r="Y195" s="25">
        <f t="shared" si="221"/>
        <v>0</v>
      </c>
      <c r="Z195" s="25"/>
      <c r="AA195" s="25"/>
      <c r="AB195" s="25">
        <f t="shared" si="222"/>
        <v>17261.579999999998</v>
      </c>
      <c r="AC195" s="25">
        <v>13753.55</v>
      </c>
      <c r="AD195" s="25">
        <v>3508.03</v>
      </c>
      <c r="AE195" s="25">
        <f t="shared" si="223"/>
        <v>863079.39999999991</v>
      </c>
      <c r="AF195" s="25"/>
      <c r="AG195" s="25">
        <f t="shared" si="224"/>
        <v>863079.39999999991</v>
      </c>
      <c r="AH195" s="28" t="s">
        <v>627</v>
      </c>
      <c r="AI195" s="72" t="s">
        <v>187</v>
      </c>
      <c r="AJ195" s="29">
        <f>184670.36-1719.64+59823.53</f>
        <v>242774.24999999997</v>
      </c>
      <c r="AK195" s="29">
        <f>18758.18+11080.69</f>
        <v>29838.870000000003</v>
      </c>
    </row>
    <row r="196" spans="1:37" ht="173.25" x14ac:dyDescent="0.25">
      <c r="A196" s="5">
        <v>190</v>
      </c>
      <c r="B196" s="67">
        <v>112066</v>
      </c>
      <c r="C196" s="118">
        <v>262</v>
      </c>
      <c r="D196" s="2" t="s">
        <v>174</v>
      </c>
      <c r="E196" s="13" t="s">
        <v>165</v>
      </c>
      <c r="F196" s="135" t="s">
        <v>357</v>
      </c>
      <c r="G196" s="154" t="s">
        <v>417</v>
      </c>
      <c r="H196" s="20" t="s">
        <v>418</v>
      </c>
      <c r="I196" s="215" t="s">
        <v>419</v>
      </c>
      <c r="J196" s="11" t="s">
        <v>565</v>
      </c>
      <c r="K196" s="104">
        <v>43193</v>
      </c>
      <c r="L196" s="8">
        <v>43680</v>
      </c>
      <c r="M196" s="4">
        <f t="shared" si="218"/>
        <v>82.304184459884823</v>
      </c>
      <c r="N196" s="2" t="s">
        <v>359</v>
      </c>
      <c r="O196" s="2" t="s">
        <v>399</v>
      </c>
      <c r="P196" s="2" t="s">
        <v>399</v>
      </c>
      <c r="Q196" s="23" t="s">
        <v>361</v>
      </c>
      <c r="R196" s="13" t="s">
        <v>36</v>
      </c>
      <c r="S196" s="25">
        <f t="shared" si="220"/>
        <v>822673.27</v>
      </c>
      <c r="T196" s="25">
        <v>663414.31999999995</v>
      </c>
      <c r="U196" s="25">
        <v>159258.95000000001</v>
      </c>
      <c r="V196" s="25">
        <f t="shared" si="219"/>
        <v>156887.87</v>
      </c>
      <c r="W196" s="25">
        <v>117073.13</v>
      </c>
      <c r="X196" s="25">
        <v>39814.74</v>
      </c>
      <c r="Y196" s="25">
        <f t="shared" si="221"/>
        <v>0</v>
      </c>
      <c r="Z196" s="25"/>
      <c r="AA196" s="25"/>
      <c r="AB196" s="25">
        <f t="shared" si="222"/>
        <v>19991.04</v>
      </c>
      <c r="AC196" s="25">
        <v>15928.31</v>
      </c>
      <c r="AD196" s="25">
        <v>4062.73</v>
      </c>
      <c r="AE196" s="25">
        <f t="shared" si="223"/>
        <v>999552.18</v>
      </c>
      <c r="AF196" s="25"/>
      <c r="AG196" s="25">
        <f t="shared" si="224"/>
        <v>999552.18</v>
      </c>
      <c r="AH196" s="28" t="s">
        <v>627</v>
      </c>
      <c r="AI196" s="72" t="s">
        <v>187</v>
      </c>
      <c r="AJ196" s="29">
        <f>148819.34+46038+153649.09</f>
        <v>348506.43</v>
      </c>
      <c r="AK196" s="29">
        <f>28380.59+38081.31</f>
        <v>66461.899999999994</v>
      </c>
    </row>
    <row r="197" spans="1:37" ht="236.25" x14ac:dyDescent="0.25">
      <c r="A197" s="2">
        <v>191</v>
      </c>
      <c r="B197" s="67">
        <v>121460</v>
      </c>
      <c r="C197" s="118">
        <v>59</v>
      </c>
      <c r="D197" s="2" t="s">
        <v>177</v>
      </c>
      <c r="E197" s="13" t="s">
        <v>165</v>
      </c>
      <c r="F197" s="135" t="s">
        <v>128</v>
      </c>
      <c r="G197" s="21" t="s">
        <v>437</v>
      </c>
      <c r="H197" s="20" t="s">
        <v>439</v>
      </c>
      <c r="I197" s="13" t="s">
        <v>385</v>
      </c>
      <c r="J197" s="11" t="s">
        <v>438</v>
      </c>
      <c r="K197" s="104">
        <v>43207</v>
      </c>
      <c r="L197" s="8">
        <v>44121</v>
      </c>
      <c r="M197" s="4">
        <f t="shared" si="218"/>
        <v>83.983862848746611</v>
      </c>
      <c r="N197" s="2" t="s">
        <v>359</v>
      </c>
      <c r="O197" s="2" t="s">
        <v>399</v>
      </c>
      <c r="P197" s="2" t="s">
        <v>399</v>
      </c>
      <c r="Q197" s="23" t="s">
        <v>157</v>
      </c>
      <c r="R197" s="2" t="s">
        <v>36</v>
      </c>
      <c r="S197" s="25">
        <f t="shared" si="220"/>
        <v>6975407.25</v>
      </c>
      <c r="T197" s="25">
        <v>5625058.21</v>
      </c>
      <c r="U197" s="25">
        <v>1350349.04</v>
      </c>
      <c r="V197" s="25">
        <f t="shared" si="219"/>
        <v>0</v>
      </c>
      <c r="W197" s="25">
        <v>0</v>
      </c>
      <c r="X197" s="25">
        <v>0</v>
      </c>
      <c r="Y197" s="25">
        <f t="shared" si="221"/>
        <v>1330244.5899999999</v>
      </c>
      <c r="Z197" s="26">
        <v>992657.33</v>
      </c>
      <c r="AA197" s="25">
        <v>337587.26</v>
      </c>
      <c r="AB197" s="25">
        <f t="shared" si="222"/>
        <v>0</v>
      </c>
      <c r="AC197" s="25">
        <v>0</v>
      </c>
      <c r="AD197" s="25">
        <v>0</v>
      </c>
      <c r="AE197" s="25">
        <f t="shared" si="223"/>
        <v>8305651.8399999999</v>
      </c>
      <c r="AF197" s="25">
        <v>0</v>
      </c>
      <c r="AG197" s="25">
        <f t="shared" si="224"/>
        <v>8305651.8399999999</v>
      </c>
      <c r="AH197" s="28" t="s">
        <v>627</v>
      </c>
      <c r="AI197" s="72" t="s">
        <v>187</v>
      </c>
      <c r="AJ197" s="29">
        <f>59335.44+64701.17+90758.49</f>
        <v>214795.1</v>
      </c>
      <c r="AK197" s="29">
        <v>0</v>
      </c>
    </row>
    <row r="198" spans="1:37" ht="173.25" x14ac:dyDescent="0.25">
      <c r="A198" s="5">
        <v>192</v>
      </c>
      <c r="B198" s="67">
        <v>109749</v>
      </c>
      <c r="C198" s="118">
        <v>253</v>
      </c>
      <c r="D198" s="2" t="s">
        <v>175</v>
      </c>
      <c r="E198" s="13" t="s">
        <v>165</v>
      </c>
      <c r="F198" s="135" t="s">
        <v>357</v>
      </c>
      <c r="G198" s="21" t="s">
        <v>425</v>
      </c>
      <c r="H198" s="22" t="s">
        <v>426</v>
      </c>
      <c r="I198" s="13" t="s">
        <v>187</v>
      </c>
      <c r="J198" s="11" t="s">
        <v>566</v>
      </c>
      <c r="K198" s="104">
        <v>43208</v>
      </c>
      <c r="L198" s="8">
        <v>43695</v>
      </c>
      <c r="M198" s="4">
        <f t="shared" si="218"/>
        <v>82.304185790916577</v>
      </c>
      <c r="N198" s="2" t="s">
        <v>359</v>
      </c>
      <c r="O198" s="2" t="s">
        <v>447</v>
      </c>
      <c r="P198" s="2" t="s">
        <v>447</v>
      </c>
      <c r="Q198" s="23" t="s">
        <v>361</v>
      </c>
      <c r="R198" s="13" t="s">
        <v>36</v>
      </c>
      <c r="S198" s="25">
        <f t="shared" si="220"/>
        <v>808649.72</v>
      </c>
      <c r="T198" s="26">
        <v>652105.54</v>
      </c>
      <c r="U198" s="26">
        <v>156544.18</v>
      </c>
      <c r="V198" s="25">
        <f t="shared" si="219"/>
        <v>154213.49</v>
      </c>
      <c r="W198" s="26">
        <v>115077.45</v>
      </c>
      <c r="X198" s="26">
        <v>39136.04</v>
      </c>
      <c r="Y198" s="25">
        <f t="shared" si="221"/>
        <v>0</v>
      </c>
      <c r="Z198" s="25">
        <v>0</v>
      </c>
      <c r="AA198" s="25">
        <v>0</v>
      </c>
      <c r="AB198" s="25">
        <f t="shared" si="222"/>
        <v>19650.27</v>
      </c>
      <c r="AC198" s="25">
        <v>15656.8</v>
      </c>
      <c r="AD198" s="25">
        <v>3993.47</v>
      </c>
      <c r="AE198" s="25">
        <f t="shared" si="223"/>
        <v>982513.48</v>
      </c>
      <c r="AF198" s="25"/>
      <c r="AG198" s="25">
        <f t="shared" si="224"/>
        <v>982513.48</v>
      </c>
      <c r="AH198" s="28" t="s">
        <v>627</v>
      </c>
      <c r="AI198" s="72"/>
      <c r="AJ198" s="29">
        <f>320855.76+13409.42+153292.16</f>
        <v>487557.33999999997</v>
      </c>
      <c r="AK198" s="29">
        <f>63706.03+10496.81</f>
        <v>74202.84</v>
      </c>
    </row>
    <row r="199" spans="1:37" ht="220.5" x14ac:dyDescent="0.25">
      <c r="A199" s="5">
        <v>193</v>
      </c>
      <c r="B199" s="67">
        <v>109967</v>
      </c>
      <c r="C199" s="118">
        <v>177</v>
      </c>
      <c r="D199" s="2" t="s">
        <v>172</v>
      </c>
      <c r="E199" s="13" t="s">
        <v>165</v>
      </c>
      <c r="F199" s="135" t="s">
        <v>357</v>
      </c>
      <c r="G199" s="21" t="s">
        <v>431</v>
      </c>
      <c r="H199" s="20" t="s">
        <v>432</v>
      </c>
      <c r="I199" s="13" t="s">
        <v>187</v>
      </c>
      <c r="J199" s="11" t="s">
        <v>567</v>
      </c>
      <c r="K199" s="104">
        <v>43208</v>
      </c>
      <c r="L199" s="8">
        <v>43695</v>
      </c>
      <c r="M199" s="4">
        <f t="shared" si="218"/>
        <v>82.304185620299052</v>
      </c>
      <c r="N199" s="2" t="s">
        <v>359</v>
      </c>
      <c r="O199" s="2" t="s">
        <v>399</v>
      </c>
      <c r="P199" s="2" t="s">
        <v>399</v>
      </c>
      <c r="Q199" s="23" t="s">
        <v>361</v>
      </c>
      <c r="R199" s="13" t="s">
        <v>36</v>
      </c>
      <c r="S199" s="25">
        <f t="shared" si="220"/>
        <v>804452.46</v>
      </c>
      <c r="T199" s="25">
        <v>648720.81999999995</v>
      </c>
      <c r="U199" s="25">
        <v>155731.64000000001</v>
      </c>
      <c r="V199" s="25">
        <f t="shared" si="219"/>
        <v>153413.04999999999</v>
      </c>
      <c r="W199" s="25">
        <v>114480.14</v>
      </c>
      <c r="X199" s="25">
        <v>38932.910000000003</v>
      </c>
      <c r="Y199" s="25">
        <f t="shared" si="221"/>
        <v>0</v>
      </c>
      <c r="Z199" s="216"/>
      <c r="AA199" s="216"/>
      <c r="AB199" s="25">
        <f t="shared" si="222"/>
        <v>19548.28</v>
      </c>
      <c r="AC199" s="25">
        <v>15575.53</v>
      </c>
      <c r="AD199" s="25">
        <v>3972.75</v>
      </c>
      <c r="AE199" s="25">
        <f t="shared" si="223"/>
        <v>977413.79</v>
      </c>
      <c r="AF199" s="25"/>
      <c r="AG199" s="25">
        <f t="shared" si="224"/>
        <v>977413.79</v>
      </c>
      <c r="AH199" s="28" t="s">
        <v>627</v>
      </c>
      <c r="AI199" s="72"/>
      <c r="AJ199" s="29">
        <f>312590.47-8868.28+88856.3</f>
        <v>392578.48999999993</v>
      </c>
      <c r="AK199" s="29">
        <f>40972.78+16948.54+8885.07</f>
        <v>66806.39</v>
      </c>
    </row>
    <row r="200" spans="1:37" ht="173.25" x14ac:dyDescent="0.25">
      <c r="A200" s="2">
        <v>194</v>
      </c>
      <c r="B200" s="67">
        <v>112811</v>
      </c>
      <c r="C200" s="13">
        <v>196</v>
      </c>
      <c r="D200" s="2" t="s">
        <v>172</v>
      </c>
      <c r="E200" s="13" t="s">
        <v>165</v>
      </c>
      <c r="F200" s="135" t="s">
        <v>357</v>
      </c>
      <c r="G200" s="21" t="s">
        <v>434</v>
      </c>
      <c r="H200" s="20" t="s">
        <v>435</v>
      </c>
      <c r="I200" s="13" t="s">
        <v>187</v>
      </c>
      <c r="J200" s="11" t="s">
        <v>436</v>
      </c>
      <c r="K200" s="104">
        <v>43208</v>
      </c>
      <c r="L200" s="8">
        <v>43573</v>
      </c>
      <c r="M200" s="4">
        <f t="shared" si="218"/>
        <v>82.304184666338784</v>
      </c>
      <c r="N200" s="2" t="s">
        <v>359</v>
      </c>
      <c r="O200" s="2" t="s">
        <v>399</v>
      </c>
      <c r="P200" s="2" t="s">
        <v>399</v>
      </c>
      <c r="Q200" s="23" t="s">
        <v>361</v>
      </c>
      <c r="R200" s="2" t="s">
        <v>36</v>
      </c>
      <c r="S200" s="25">
        <f t="shared" si="220"/>
        <v>760931.29</v>
      </c>
      <c r="T200" s="25">
        <v>613624.79</v>
      </c>
      <c r="U200" s="25">
        <v>147306.5</v>
      </c>
      <c r="V200" s="25">
        <f t="shared" si="219"/>
        <v>145113.35999999999</v>
      </c>
      <c r="W200" s="25">
        <v>108286.73</v>
      </c>
      <c r="X200" s="25">
        <v>36826.629999999997</v>
      </c>
      <c r="Y200" s="25">
        <f t="shared" si="221"/>
        <v>0</v>
      </c>
      <c r="Z200" s="25">
        <v>0</v>
      </c>
      <c r="AA200" s="25">
        <v>0</v>
      </c>
      <c r="AB200" s="25">
        <f t="shared" si="222"/>
        <v>18490.71</v>
      </c>
      <c r="AC200" s="25">
        <v>14732.89</v>
      </c>
      <c r="AD200" s="25">
        <v>3757.82</v>
      </c>
      <c r="AE200" s="25">
        <f t="shared" si="223"/>
        <v>924535.36</v>
      </c>
      <c r="AF200" s="25"/>
      <c r="AG200" s="25">
        <f t="shared" si="224"/>
        <v>924535.36</v>
      </c>
      <c r="AH200" s="28" t="s">
        <v>627</v>
      </c>
      <c r="AI200" s="72"/>
      <c r="AJ200" s="29">
        <f>91800+75057.16+74073.77</f>
        <v>240930.93</v>
      </c>
      <c r="AK200" s="29">
        <f>14189.24+14126.23</f>
        <v>28315.47</v>
      </c>
    </row>
    <row r="201" spans="1:37" ht="409.5" x14ac:dyDescent="0.25">
      <c r="A201" s="5">
        <v>195</v>
      </c>
      <c r="B201" s="67">
        <v>112080</v>
      </c>
      <c r="C201" s="118">
        <v>354</v>
      </c>
      <c r="D201" s="2" t="s">
        <v>177</v>
      </c>
      <c r="E201" s="13" t="s">
        <v>165</v>
      </c>
      <c r="F201" s="135" t="s">
        <v>357</v>
      </c>
      <c r="G201" s="21" t="s">
        <v>446</v>
      </c>
      <c r="H201" s="21" t="s">
        <v>445</v>
      </c>
      <c r="I201" s="13" t="s">
        <v>187</v>
      </c>
      <c r="J201" s="11" t="s">
        <v>568</v>
      </c>
      <c r="K201" s="104">
        <v>43214</v>
      </c>
      <c r="L201" s="8">
        <v>43701</v>
      </c>
      <c r="M201" s="4">
        <f t="shared" ref="M201:M232" si="225">S201/AE201*100</f>
        <v>82.304185109241828</v>
      </c>
      <c r="N201" s="2" t="s">
        <v>359</v>
      </c>
      <c r="O201" s="2" t="s">
        <v>399</v>
      </c>
      <c r="P201" s="2" t="s">
        <v>399</v>
      </c>
      <c r="Q201" s="23" t="s">
        <v>361</v>
      </c>
      <c r="R201" s="13" t="s">
        <v>36</v>
      </c>
      <c r="S201" s="25">
        <f t="shared" si="220"/>
        <v>570578.29</v>
      </c>
      <c r="T201" s="25">
        <v>460121.68</v>
      </c>
      <c r="U201" s="25">
        <v>110456.61</v>
      </c>
      <c r="V201" s="25">
        <f t="shared" ref="V201:V232" si="226">W201+X201</f>
        <v>108812.1</v>
      </c>
      <c r="W201" s="25">
        <v>81197.94</v>
      </c>
      <c r="X201" s="25">
        <v>27614.16</v>
      </c>
      <c r="Y201" s="25">
        <f t="shared" si="221"/>
        <v>0</v>
      </c>
      <c r="Z201" s="25">
        <v>0</v>
      </c>
      <c r="AA201" s="25">
        <v>0</v>
      </c>
      <c r="AB201" s="25">
        <f t="shared" ref="AB201:AB214" si="227">AC201+AD201</f>
        <v>13865.11</v>
      </c>
      <c r="AC201" s="25">
        <v>11047.34</v>
      </c>
      <c r="AD201" s="25">
        <v>2817.77</v>
      </c>
      <c r="AE201" s="25">
        <f t="shared" si="223"/>
        <v>693255.5</v>
      </c>
      <c r="AF201" s="25">
        <v>0</v>
      </c>
      <c r="AG201" s="25">
        <f t="shared" si="224"/>
        <v>693255.5</v>
      </c>
      <c r="AH201" s="28" t="s">
        <v>627</v>
      </c>
      <c r="AI201" s="72" t="s">
        <v>187</v>
      </c>
      <c r="AJ201" s="29">
        <f>105536.1+45768.53+51356.28</f>
        <v>202660.91</v>
      </c>
      <c r="AK201" s="29">
        <f>6905.53+8728.29+18120.82</f>
        <v>33754.639999999999</v>
      </c>
    </row>
    <row r="202" spans="1:37" ht="267.75" x14ac:dyDescent="0.25">
      <c r="A202" s="5">
        <v>196</v>
      </c>
      <c r="B202" s="67">
        <v>111113</v>
      </c>
      <c r="C202" s="118">
        <v>252</v>
      </c>
      <c r="D202" s="2" t="s">
        <v>175</v>
      </c>
      <c r="E202" s="13" t="s">
        <v>165</v>
      </c>
      <c r="F202" s="135" t="s">
        <v>357</v>
      </c>
      <c r="G202" s="21" t="s">
        <v>448</v>
      </c>
      <c r="H202" s="21" t="s">
        <v>1286</v>
      </c>
      <c r="I202" s="13" t="s">
        <v>476</v>
      </c>
      <c r="J202" s="11" t="s">
        <v>450</v>
      </c>
      <c r="K202" s="104">
        <v>43214</v>
      </c>
      <c r="L202" s="8">
        <v>43579</v>
      </c>
      <c r="M202" s="4">
        <f t="shared" si="225"/>
        <v>82.304185972255567</v>
      </c>
      <c r="N202" s="2" t="s">
        <v>359</v>
      </c>
      <c r="O202" s="2" t="s">
        <v>395</v>
      </c>
      <c r="P202" s="2" t="s">
        <v>449</v>
      </c>
      <c r="Q202" s="23" t="s">
        <v>361</v>
      </c>
      <c r="R202" s="13" t="s">
        <v>36</v>
      </c>
      <c r="S202" s="25">
        <f t="shared" ref="S202:S232" si="228">T202+U202</f>
        <v>793396.18</v>
      </c>
      <c r="T202" s="25">
        <v>639804.9</v>
      </c>
      <c r="U202" s="25">
        <v>153591.28</v>
      </c>
      <c r="V202" s="25">
        <f t="shared" si="226"/>
        <v>151304.57</v>
      </c>
      <c r="W202" s="25">
        <v>112906.75</v>
      </c>
      <c r="X202" s="25">
        <v>38397.82</v>
      </c>
      <c r="Y202" s="25">
        <f t="shared" ref="Y202:Y232" si="229">Z202+AA202</f>
        <v>0</v>
      </c>
      <c r="Z202" s="25">
        <v>0</v>
      </c>
      <c r="AA202" s="25">
        <v>0</v>
      </c>
      <c r="AB202" s="25">
        <f t="shared" si="227"/>
        <v>19279.599999999999</v>
      </c>
      <c r="AC202" s="25">
        <v>15361.46</v>
      </c>
      <c r="AD202" s="25">
        <v>3918.14</v>
      </c>
      <c r="AE202" s="25">
        <f t="shared" si="223"/>
        <v>963980.35</v>
      </c>
      <c r="AF202" s="25">
        <v>0</v>
      </c>
      <c r="AG202" s="25">
        <f t="shared" si="224"/>
        <v>963980.35</v>
      </c>
      <c r="AH202" s="28" t="s">
        <v>627</v>
      </c>
      <c r="AI202" s="72" t="s">
        <v>187</v>
      </c>
      <c r="AJ202" s="29">
        <f>360374.76+80428.02</f>
        <v>440802.78</v>
      </c>
      <c r="AK202" s="29">
        <f>36349.9+31943.22+13703.1</f>
        <v>81996.22</v>
      </c>
    </row>
    <row r="203" spans="1:37" ht="330.75" x14ac:dyDescent="0.25">
      <c r="A203" s="2">
        <v>197</v>
      </c>
      <c r="B203" s="67">
        <v>109880</v>
      </c>
      <c r="C203" s="118">
        <v>261</v>
      </c>
      <c r="D203" s="2" t="s">
        <v>174</v>
      </c>
      <c r="E203" s="13" t="s">
        <v>165</v>
      </c>
      <c r="F203" s="135" t="s">
        <v>357</v>
      </c>
      <c r="G203" s="21" t="s">
        <v>457</v>
      </c>
      <c r="H203" s="19" t="s">
        <v>455</v>
      </c>
      <c r="I203" s="133" t="s">
        <v>456</v>
      </c>
      <c r="J203" s="11" t="s">
        <v>569</v>
      </c>
      <c r="K203" s="104">
        <v>43214</v>
      </c>
      <c r="L203" s="8">
        <v>43640</v>
      </c>
      <c r="M203" s="4">
        <f t="shared" si="225"/>
        <v>82.304184374786118</v>
      </c>
      <c r="N203" s="2" t="s">
        <v>359</v>
      </c>
      <c r="O203" s="2" t="s">
        <v>297</v>
      </c>
      <c r="P203" s="2" t="s">
        <v>458</v>
      </c>
      <c r="Q203" s="23" t="s">
        <v>361</v>
      </c>
      <c r="R203" s="13" t="s">
        <v>36</v>
      </c>
      <c r="S203" s="25">
        <f t="shared" si="228"/>
        <v>782828.76</v>
      </c>
      <c r="T203" s="25">
        <v>631283.18999999994</v>
      </c>
      <c r="U203" s="25">
        <v>151545.57</v>
      </c>
      <c r="V203" s="25">
        <f t="shared" si="226"/>
        <v>149289.32</v>
      </c>
      <c r="W203" s="25">
        <v>111402.93</v>
      </c>
      <c r="X203" s="25">
        <v>37886.39</v>
      </c>
      <c r="Y203" s="25">
        <f t="shared" si="229"/>
        <v>0</v>
      </c>
      <c r="Z203" s="25"/>
      <c r="AA203" s="25"/>
      <c r="AB203" s="25">
        <f t="shared" si="227"/>
        <v>19022.82</v>
      </c>
      <c r="AC203" s="25">
        <v>15156.86</v>
      </c>
      <c r="AD203" s="25">
        <v>3865.96</v>
      </c>
      <c r="AE203" s="25">
        <f t="shared" si="223"/>
        <v>951140.9</v>
      </c>
      <c r="AF203" s="25"/>
      <c r="AG203" s="25">
        <f t="shared" si="224"/>
        <v>951140.9</v>
      </c>
      <c r="AH203" s="28" t="s">
        <v>627</v>
      </c>
      <c r="AI203" s="72" t="s">
        <v>459</v>
      </c>
      <c r="AJ203" s="29">
        <v>158718.42000000001</v>
      </c>
      <c r="AK203" s="29">
        <v>13036.61</v>
      </c>
    </row>
    <row r="204" spans="1:37" ht="220.5" x14ac:dyDescent="0.25">
      <c r="A204" s="5">
        <v>198</v>
      </c>
      <c r="B204" s="67">
        <v>110309</v>
      </c>
      <c r="C204" s="118">
        <v>304</v>
      </c>
      <c r="D204" s="2" t="s">
        <v>170</v>
      </c>
      <c r="E204" s="13" t="s">
        <v>165</v>
      </c>
      <c r="F204" s="135" t="s">
        <v>357</v>
      </c>
      <c r="G204" s="6" t="s">
        <v>494</v>
      </c>
      <c r="H204" s="20" t="s">
        <v>495</v>
      </c>
      <c r="I204" s="13" t="s">
        <v>187</v>
      </c>
      <c r="J204" s="11" t="s">
        <v>496</v>
      </c>
      <c r="K204" s="104">
        <v>43217</v>
      </c>
      <c r="L204" s="8">
        <v>43704</v>
      </c>
      <c r="M204" s="4">
        <f t="shared" si="225"/>
        <v>82.304186243827388</v>
      </c>
      <c r="N204" s="2" t="s">
        <v>359</v>
      </c>
      <c r="O204" s="2" t="s">
        <v>462</v>
      </c>
      <c r="P204" s="2" t="s">
        <v>462</v>
      </c>
      <c r="Q204" s="23" t="s">
        <v>361</v>
      </c>
      <c r="R204" s="13" t="s">
        <v>36</v>
      </c>
      <c r="S204" s="25">
        <f t="shared" si="228"/>
        <v>822248.59</v>
      </c>
      <c r="T204" s="25">
        <v>663071.85</v>
      </c>
      <c r="U204" s="25">
        <v>159176.74</v>
      </c>
      <c r="V204" s="25">
        <f t="shared" si="226"/>
        <v>156806.85999999999</v>
      </c>
      <c r="W204" s="25">
        <v>117012.68</v>
      </c>
      <c r="X204" s="25">
        <v>39794.18</v>
      </c>
      <c r="Y204" s="25">
        <f t="shared" si="229"/>
        <v>0</v>
      </c>
      <c r="Z204" s="25">
        <v>0</v>
      </c>
      <c r="AA204" s="25">
        <v>0</v>
      </c>
      <c r="AB204" s="25">
        <f t="shared" si="227"/>
        <v>19980.72</v>
      </c>
      <c r="AC204" s="25">
        <v>15920.09</v>
      </c>
      <c r="AD204" s="25">
        <v>4060.63</v>
      </c>
      <c r="AE204" s="25">
        <f t="shared" si="223"/>
        <v>999036.16999999993</v>
      </c>
      <c r="AF204" s="25">
        <v>0</v>
      </c>
      <c r="AG204" s="25">
        <f t="shared" si="224"/>
        <v>999036.16999999993</v>
      </c>
      <c r="AH204" s="28" t="s">
        <v>627</v>
      </c>
      <c r="AI204" s="72" t="s">
        <v>187</v>
      </c>
      <c r="AJ204" s="29">
        <f>83798.27+102389.01</f>
        <v>186187.28</v>
      </c>
      <c r="AK204" s="29">
        <f>11201.73+6188.13</f>
        <v>17389.86</v>
      </c>
    </row>
    <row r="205" spans="1:37" ht="157.5" x14ac:dyDescent="0.25">
      <c r="A205" s="5">
        <v>199</v>
      </c>
      <c r="B205" s="67">
        <v>112122</v>
      </c>
      <c r="C205" s="118">
        <v>172</v>
      </c>
      <c r="D205" s="2" t="s">
        <v>172</v>
      </c>
      <c r="E205" s="13" t="s">
        <v>165</v>
      </c>
      <c r="F205" s="135" t="s">
        <v>357</v>
      </c>
      <c r="G205" s="217" t="s">
        <v>460</v>
      </c>
      <c r="H205" s="20" t="s">
        <v>461</v>
      </c>
      <c r="I205" s="13" t="s">
        <v>187</v>
      </c>
      <c r="J205" s="11" t="s">
        <v>570</v>
      </c>
      <c r="K205" s="104">
        <v>43217</v>
      </c>
      <c r="L205" s="8">
        <v>43643</v>
      </c>
      <c r="M205" s="4">
        <f t="shared" si="225"/>
        <v>82.304186567760425</v>
      </c>
      <c r="N205" s="2" t="s">
        <v>359</v>
      </c>
      <c r="O205" s="2" t="s">
        <v>297</v>
      </c>
      <c r="P205" s="2" t="s">
        <v>458</v>
      </c>
      <c r="Q205" s="23" t="s">
        <v>361</v>
      </c>
      <c r="R205" s="13" t="s">
        <v>36</v>
      </c>
      <c r="S205" s="25">
        <f t="shared" si="228"/>
        <v>773010.2699999999</v>
      </c>
      <c r="T205" s="25">
        <v>623365.43999999994</v>
      </c>
      <c r="U205" s="25">
        <v>149644.82999999999</v>
      </c>
      <c r="V205" s="25">
        <f t="shared" si="226"/>
        <v>147416.87</v>
      </c>
      <c r="W205" s="25">
        <v>110005.66</v>
      </c>
      <c r="X205" s="25">
        <v>37411.21</v>
      </c>
      <c r="Y205" s="25">
        <f t="shared" si="229"/>
        <v>0</v>
      </c>
      <c r="Z205" s="25">
        <v>0</v>
      </c>
      <c r="AA205" s="25">
        <v>0</v>
      </c>
      <c r="AB205" s="25">
        <f t="shared" si="227"/>
        <v>18784.22</v>
      </c>
      <c r="AC205" s="25">
        <v>14966.75</v>
      </c>
      <c r="AD205" s="25">
        <v>3817.47</v>
      </c>
      <c r="AE205" s="25">
        <f t="shared" si="223"/>
        <v>939211.35999999987</v>
      </c>
      <c r="AF205" s="25">
        <v>0</v>
      </c>
      <c r="AG205" s="25">
        <f t="shared" si="224"/>
        <v>939211.35999999987</v>
      </c>
      <c r="AH205" s="28" t="s">
        <v>627</v>
      </c>
      <c r="AI205" s="72" t="s">
        <v>1178</v>
      </c>
      <c r="AJ205" s="29">
        <f>203464.35+52738-9972.73</f>
        <v>246229.62</v>
      </c>
      <c r="AK205" s="29">
        <f>20890.44+10057.4+9972.73</f>
        <v>40920.569999999992</v>
      </c>
    </row>
    <row r="206" spans="1:37" ht="267.75" x14ac:dyDescent="0.25">
      <c r="A206" s="2">
        <v>200</v>
      </c>
      <c r="B206" s="67">
        <v>111683</v>
      </c>
      <c r="C206" s="118">
        <v>339</v>
      </c>
      <c r="D206" s="2" t="s">
        <v>178</v>
      </c>
      <c r="E206" s="13" t="s">
        <v>165</v>
      </c>
      <c r="F206" s="135" t="s">
        <v>357</v>
      </c>
      <c r="G206" s="6" t="s">
        <v>477</v>
      </c>
      <c r="H206" s="6" t="s">
        <v>478</v>
      </c>
      <c r="I206" s="13" t="s">
        <v>187</v>
      </c>
      <c r="J206" s="11" t="s">
        <v>571</v>
      </c>
      <c r="K206" s="104">
        <v>43227</v>
      </c>
      <c r="L206" s="8">
        <v>43715</v>
      </c>
      <c r="M206" s="4">
        <f t="shared" si="225"/>
        <v>82.304184760647772</v>
      </c>
      <c r="N206" s="2" t="s">
        <v>359</v>
      </c>
      <c r="O206" s="2" t="s">
        <v>347</v>
      </c>
      <c r="P206" s="2" t="s">
        <v>347</v>
      </c>
      <c r="Q206" s="23" t="s">
        <v>361</v>
      </c>
      <c r="R206" s="13" t="s">
        <v>36</v>
      </c>
      <c r="S206" s="25">
        <f t="shared" si="228"/>
        <v>791387.51</v>
      </c>
      <c r="T206" s="25">
        <v>638185.07999999996</v>
      </c>
      <c r="U206" s="218">
        <v>153202.43</v>
      </c>
      <c r="V206" s="25">
        <f t="shared" si="226"/>
        <v>150921.51</v>
      </c>
      <c r="W206" s="219">
        <v>112620.9</v>
      </c>
      <c r="X206" s="25">
        <v>38300.61</v>
      </c>
      <c r="Y206" s="25">
        <f t="shared" si="229"/>
        <v>0</v>
      </c>
      <c r="Z206" s="25">
        <v>0</v>
      </c>
      <c r="AA206" s="25">
        <v>0</v>
      </c>
      <c r="AB206" s="25">
        <f t="shared" si="227"/>
        <v>19230.8</v>
      </c>
      <c r="AC206" s="25">
        <v>15322.57</v>
      </c>
      <c r="AD206" s="25">
        <v>3908.23</v>
      </c>
      <c r="AE206" s="25">
        <f t="shared" si="223"/>
        <v>961539.82000000007</v>
      </c>
      <c r="AF206" s="25"/>
      <c r="AG206" s="25">
        <f t="shared" si="224"/>
        <v>961539.82000000007</v>
      </c>
      <c r="AH206" s="28" t="s">
        <v>627</v>
      </c>
      <c r="AI206" s="72" t="s">
        <v>187</v>
      </c>
      <c r="AJ206" s="29">
        <f>96153.98-3298.47</f>
        <v>92855.51</v>
      </c>
      <c r="AK206" s="29">
        <v>3298.47</v>
      </c>
    </row>
    <row r="207" spans="1:37" ht="393.75" x14ac:dyDescent="0.25">
      <c r="A207" s="5">
        <v>201</v>
      </c>
      <c r="B207" s="67">
        <v>112332</v>
      </c>
      <c r="C207" s="118">
        <v>351</v>
      </c>
      <c r="D207" s="2" t="s">
        <v>177</v>
      </c>
      <c r="E207" s="13" t="s">
        <v>165</v>
      </c>
      <c r="F207" s="135" t="s">
        <v>357</v>
      </c>
      <c r="G207" s="50" t="s">
        <v>479</v>
      </c>
      <c r="H207" s="220" t="s">
        <v>480</v>
      </c>
      <c r="I207" s="217" t="s">
        <v>481</v>
      </c>
      <c r="J207" s="11" t="s">
        <v>482</v>
      </c>
      <c r="K207" s="104">
        <v>43227</v>
      </c>
      <c r="L207" s="8">
        <v>43653</v>
      </c>
      <c r="M207" s="4">
        <f t="shared" si="225"/>
        <v>82.304185552831029</v>
      </c>
      <c r="N207" s="2" t="s">
        <v>359</v>
      </c>
      <c r="O207" s="2" t="s">
        <v>1045</v>
      </c>
      <c r="P207" s="2" t="s">
        <v>1046</v>
      </c>
      <c r="Q207" s="23" t="s">
        <v>361</v>
      </c>
      <c r="R207" s="13" t="s">
        <v>36</v>
      </c>
      <c r="S207" s="25">
        <f t="shared" si="228"/>
        <v>785144.49</v>
      </c>
      <c r="T207" s="25">
        <v>633150.63</v>
      </c>
      <c r="U207" s="25">
        <v>151993.85999999999</v>
      </c>
      <c r="V207" s="25">
        <f t="shared" si="226"/>
        <v>149730.93</v>
      </c>
      <c r="W207" s="25">
        <v>111732.46</v>
      </c>
      <c r="X207" s="25">
        <v>37998.47</v>
      </c>
      <c r="Y207" s="25">
        <f t="shared" si="229"/>
        <v>0</v>
      </c>
      <c r="Z207" s="25">
        <v>0</v>
      </c>
      <c r="AA207" s="25">
        <v>0</v>
      </c>
      <c r="AB207" s="25">
        <f t="shared" si="227"/>
        <v>19079.09</v>
      </c>
      <c r="AC207" s="25">
        <v>15201.7</v>
      </c>
      <c r="AD207" s="25">
        <v>3877.39</v>
      </c>
      <c r="AE207" s="25">
        <f t="shared" si="223"/>
        <v>953954.50999999989</v>
      </c>
      <c r="AF207" s="25">
        <v>0</v>
      </c>
      <c r="AG207" s="25">
        <f t="shared" si="224"/>
        <v>953954.50999999989</v>
      </c>
      <c r="AH207" s="28" t="s">
        <v>627</v>
      </c>
      <c r="AI207" s="72" t="s">
        <v>187</v>
      </c>
      <c r="AJ207" s="29">
        <f>103189.19-10344.17</f>
        <v>92845.02</v>
      </c>
      <c r="AK207" s="29">
        <f>6891.88+10344.17</f>
        <v>17236.05</v>
      </c>
    </row>
    <row r="208" spans="1:37" ht="204.75" x14ac:dyDescent="0.25">
      <c r="A208" s="5">
        <v>202</v>
      </c>
      <c r="B208" s="67">
        <v>115657</v>
      </c>
      <c r="C208" s="118">
        <v>390</v>
      </c>
      <c r="D208" s="2" t="s">
        <v>174</v>
      </c>
      <c r="E208" s="13" t="s">
        <v>165</v>
      </c>
      <c r="F208" s="119" t="s">
        <v>484</v>
      </c>
      <c r="G208" s="6" t="s">
        <v>483</v>
      </c>
      <c r="H208" s="6" t="s">
        <v>42</v>
      </c>
      <c r="I208" s="2" t="s">
        <v>485</v>
      </c>
      <c r="J208" s="11" t="s">
        <v>486</v>
      </c>
      <c r="K208" s="104">
        <v>43223</v>
      </c>
      <c r="L208" s="8">
        <v>44015</v>
      </c>
      <c r="M208" s="4">
        <f t="shared" si="225"/>
        <v>83.983862800906138</v>
      </c>
      <c r="N208" s="2" t="s">
        <v>359</v>
      </c>
      <c r="O208" s="2" t="s">
        <v>399</v>
      </c>
      <c r="P208" s="2" t="s">
        <v>399</v>
      </c>
      <c r="Q208" s="23" t="s">
        <v>157</v>
      </c>
      <c r="R208" s="13" t="s">
        <v>36</v>
      </c>
      <c r="S208" s="25">
        <f t="shared" si="228"/>
        <v>5309367.55</v>
      </c>
      <c r="T208" s="25">
        <v>4281542.3499999996</v>
      </c>
      <c r="U208" s="25">
        <v>1027825.2</v>
      </c>
      <c r="V208" s="25">
        <f t="shared" si="226"/>
        <v>0</v>
      </c>
      <c r="W208" s="25">
        <v>0</v>
      </c>
      <c r="X208" s="25">
        <v>0</v>
      </c>
      <c r="Y208" s="25">
        <f t="shared" si="229"/>
        <v>1012522.6000000001</v>
      </c>
      <c r="Z208" s="25">
        <v>755566.3</v>
      </c>
      <c r="AA208" s="25">
        <v>256956.3</v>
      </c>
      <c r="AB208" s="25">
        <f t="shared" si="227"/>
        <v>0</v>
      </c>
      <c r="AC208" s="25">
        <v>0</v>
      </c>
      <c r="AD208" s="25">
        <v>0</v>
      </c>
      <c r="AE208" s="25">
        <f t="shared" si="223"/>
        <v>6321890.1500000004</v>
      </c>
      <c r="AF208" s="25">
        <v>0</v>
      </c>
      <c r="AG208" s="25">
        <f t="shared" si="224"/>
        <v>6321890.1500000004</v>
      </c>
      <c r="AH208" s="28" t="s">
        <v>627</v>
      </c>
      <c r="AI208" s="72" t="s">
        <v>1092</v>
      </c>
      <c r="AJ208" s="29">
        <f>353113.65+235442.42</f>
        <v>588556.07000000007</v>
      </c>
      <c r="AK208" s="29">
        <v>0</v>
      </c>
    </row>
    <row r="209" spans="1:37" ht="173.25" x14ac:dyDescent="0.25">
      <c r="A209" s="2">
        <v>203</v>
      </c>
      <c r="B209" s="67">
        <v>121858</v>
      </c>
      <c r="C209" s="118">
        <v>50</v>
      </c>
      <c r="D209" s="2" t="s">
        <v>175</v>
      </c>
      <c r="E209" s="13" t="s">
        <v>165</v>
      </c>
      <c r="F209" s="135" t="s">
        <v>128</v>
      </c>
      <c r="G209" s="20" t="s">
        <v>487</v>
      </c>
      <c r="H209" s="20" t="s">
        <v>493</v>
      </c>
      <c r="I209" s="13" t="s">
        <v>385</v>
      </c>
      <c r="J209" s="11" t="s">
        <v>488</v>
      </c>
      <c r="K209" s="104">
        <v>43229</v>
      </c>
      <c r="L209" s="8">
        <v>44144</v>
      </c>
      <c r="M209" s="4">
        <f t="shared" si="225"/>
        <v>83.983862841119134</v>
      </c>
      <c r="N209" s="2" t="s">
        <v>359</v>
      </c>
      <c r="O209" s="2" t="s">
        <v>399</v>
      </c>
      <c r="P209" s="2" t="s">
        <v>399</v>
      </c>
      <c r="Q209" s="23" t="s">
        <v>157</v>
      </c>
      <c r="R209" s="2" t="s">
        <v>36</v>
      </c>
      <c r="S209" s="25">
        <f t="shared" si="228"/>
        <v>9905083.2300000004</v>
      </c>
      <c r="T209" s="25">
        <v>7987586.6500000004</v>
      </c>
      <c r="U209" s="25">
        <v>1917496.58</v>
      </c>
      <c r="V209" s="25">
        <f t="shared" si="226"/>
        <v>0</v>
      </c>
      <c r="W209" s="25">
        <v>0</v>
      </c>
      <c r="X209" s="25">
        <v>0</v>
      </c>
      <c r="Y209" s="25">
        <f t="shared" si="229"/>
        <v>1888948.2600000002</v>
      </c>
      <c r="Z209" s="26">
        <v>1409574.12</v>
      </c>
      <c r="AA209" s="25">
        <v>479374.14</v>
      </c>
      <c r="AB209" s="25">
        <f t="shared" si="227"/>
        <v>0</v>
      </c>
      <c r="AC209" s="25">
        <v>0</v>
      </c>
      <c r="AD209" s="25">
        <v>0</v>
      </c>
      <c r="AE209" s="25">
        <f t="shared" ref="AE209:AE211" si="230">S209+V209+Y209+AB209</f>
        <v>11794031.49</v>
      </c>
      <c r="AF209" s="25">
        <v>0</v>
      </c>
      <c r="AG209" s="25">
        <f t="shared" ref="AG209" si="231">AE209+AF209</f>
        <v>11794031.49</v>
      </c>
      <c r="AH209" s="28" t="s">
        <v>627</v>
      </c>
      <c r="AI209" s="72" t="s">
        <v>187</v>
      </c>
      <c r="AJ209" s="29">
        <f>46758.01+81807.84+85847.46</f>
        <v>214413.31</v>
      </c>
      <c r="AK209" s="29">
        <v>0</v>
      </c>
    </row>
    <row r="210" spans="1:37" ht="378" x14ac:dyDescent="0.25">
      <c r="A210" s="5">
        <v>204</v>
      </c>
      <c r="B210" s="67">
        <v>116172</v>
      </c>
      <c r="C210" s="118">
        <v>391</v>
      </c>
      <c r="D210" s="2" t="s">
        <v>171</v>
      </c>
      <c r="E210" s="13" t="s">
        <v>165</v>
      </c>
      <c r="F210" s="119" t="s">
        <v>484</v>
      </c>
      <c r="G210" s="148" t="s">
        <v>499</v>
      </c>
      <c r="H210" s="20" t="s">
        <v>500</v>
      </c>
      <c r="I210" s="217" t="s">
        <v>501</v>
      </c>
      <c r="J210" s="15" t="s">
        <v>572</v>
      </c>
      <c r="K210" s="104">
        <v>43230</v>
      </c>
      <c r="L210" s="8">
        <v>44022</v>
      </c>
      <c r="M210" s="4">
        <f t="shared" si="225"/>
        <v>83.983862830156468</v>
      </c>
      <c r="N210" s="2" t="s">
        <v>359</v>
      </c>
      <c r="O210" s="2" t="s">
        <v>399</v>
      </c>
      <c r="P210" s="2" t="s">
        <v>399</v>
      </c>
      <c r="Q210" s="23" t="s">
        <v>157</v>
      </c>
      <c r="R210" s="2" t="s">
        <v>36</v>
      </c>
      <c r="S210" s="25">
        <f>T210+U210</f>
        <v>6564977.1999999993</v>
      </c>
      <c r="T210" s="25">
        <v>5294082.1399999997</v>
      </c>
      <c r="U210" s="25">
        <v>1270895.06</v>
      </c>
      <c r="V210" s="25">
        <f t="shared" si="226"/>
        <v>0</v>
      </c>
      <c r="W210" s="25">
        <v>0</v>
      </c>
      <c r="X210" s="25">
        <v>0</v>
      </c>
      <c r="Y210" s="25">
        <f t="shared" si="229"/>
        <v>1251973.5555</v>
      </c>
      <c r="Z210" s="25">
        <v>934249.78949999996</v>
      </c>
      <c r="AA210" s="25">
        <v>317723.766</v>
      </c>
      <c r="AB210" s="25">
        <f t="shared" si="227"/>
        <v>0</v>
      </c>
      <c r="AC210" s="25">
        <v>0</v>
      </c>
      <c r="AD210" s="25"/>
      <c r="AE210" s="25">
        <f t="shared" si="230"/>
        <v>7816950.755499999</v>
      </c>
      <c r="AF210" s="25">
        <v>0</v>
      </c>
      <c r="AG210" s="25">
        <f t="shared" si="224"/>
        <v>7816950.755499999</v>
      </c>
      <c r="AH210" s="28" t="s">
        <v>627</v>
      </c>
      <c r="AI210" s="72" t="s">
        <v>187</v>
      </c>
      <c r="AJ210" s="29">
        <f>25605.84+62835.23</f>
        <v>88441.07</v>
      </c>
      <c r="AK210" s="29">
        <v>0</v>
      </c>
    </row>
    <row r="211" spans="1:37" ht="189" x14ac:dyDescent="0.25">
      <c r="A211" s="5">
        <v>205</v>
      </c>
      <c r="B211" s="67">
        <v>111701</v>
      </c>
      <c r="C211" s="118">
        <v>251</v>
      </c>
      <c r="D211" s="2" t="s">
        <v>175</v>
      </c>
      <c r="E211" s="13" t="s">
        <v>165</v>
      </c>
      <c r="F211" s="135" t="s">
        <v>357</v>
      </c>
      <c r="G211" s="50" t="s">
        <v>502</v>
      </c>
      <c r="H211" s="50" t="s">
        <v>503</v>
      </c>
      <c r="I211" s="221" t="s">
        <v>504</v>
      </c>
      <c r="J211" s="11" t="s">
        <v>573</v>
      </c>
      <c r="K211" s="104">
        <v>43231</v>
      </c>
      <c r="L211" s="8">
        <v>43780</v>
      </c>
      <c r="M211" s="4">
        <f t="shared" ref="M211" si="232">S211/AE211*100</f>
        <v>82.304184042493461</v>
      </c>
      <c r="N211" s="2" t="s">
        <v>359</v>
      </c>
      <c r="O211" s="2" t="s">
        <v>304</v>
      </c>
      <c r="P211" s="2" t="s">
        <v>304</v>
      </c>
      <c r="Q211" s="23" t="s">
        <v>361</v>
      </c>
      <c r="R211" s="13" t="s">
        <v>36</v>
      </c>
      <c r="S211" s="25">
        <f t="shared" ref="S211" si="233">T211+U211</f>
        <v>783324.87</v>
      </c>
      <c r="T211" s="25">
        <v>631683.26</v>
      </c>
      <c r="U211" s="25">
        <v>151641.60999999999</v>
      </c>
      <c r="V211" s="25">
        <f t="shared" ref="V211" si="234">W211+X211</f>
        <v>149383.93</v>
      </c>
      <c r="W211" s="25">
        <v>111473.52</v>
      </c>
      <c r="X211" s="25">
        <v>37910.410000000003</v>
      </c>
      <c r="Y211" s="25">
        <f t="shared" ref="Y211" si="235">Z211+AA211</f>
        <v>0</v>
      </c>
      <c r="Z211" s="25">
        <v>0</v>
      </c>
      <c r="AA211" s="25">
        <v>0</v>
      </c>
      <c r="AB211" s="25">
        <f t="shared" ref="AB211" si="236">AC211+AD211</f>
        <v>19034.879999999997</v>
      </c>
      <c r="AC211" s="25">
        <v>15166.47</v>
      </c>
      <c r="AD211" s="25">
        <v>3868.41</v>
      </c>
      <c r="AE211" s="25">
        <f t="shared" si="230"/>
        <v>951743.68</v>
      </c>
      <c r="AF211" s="25">
        <v>4162.62</v>
      </c>
      <c r="AG211" s="25">
        <f t="shared" ref="AG211" si="237">AE211+AF211</f>
        <v>955906.3</v>
      </c>
      <c r="AH211" s="28" t="s">
        <v>627</v>
      </c>
      <c r="AI211" s="72" t="s">
        <v>187</v>
      </c>
      <c r="AJ211" s="29">
        <f>95051.96+39484.25+23955.55</f>
        <v>158491.76</v>
      </c>
      <c r="AK211" s="29">
        <f>15075.6+9055.47+4568.44</f>
        <v>28699.51</v>
      </c>
    </row>
    <row r="212" spans="1:37" ht="195" x14ac:dyDescent="0.25">
      <c r="A212" s="2">
        <v>206</v>
      </c>
      <c r="B212" s="67">
        <v>111284</v>
      </c>
      <c r="C212" s="118">
        <v>182</v>
      </c>
      <c r="D212" s="2" t="s">
        <v>172</v>
      </c>
      <c r="E212" s="13" t="s">
        <v>165</v>
      </c>
      <c r="F212" s="135" t="s">
        <v>357</v>
      </c>
      <c r="G212" s="50" t="s">
        <v>509</v>
      </c>
      <c r="H212" s="2" t="s">
        <v>510</v>
      </c>
      <c r="I212" s="222"/>
      <c r="J212" s="51" t="s">
        <v>574</v>
      </c>
      <c r="K212" s="104">
        <v>43236</v>
      </c>
      <c r="L212" s="8">
        <v>43724</v>
      </c>
      <c r="M212" s="4">
        <f t="shared" si="225"/>
        <v>82.304186150868873</v>
      </c>
      <c r="N212" s="2" t="s">
        <v>359</v>
      </c>
      <c r="O212" s="2" t="s">
        <v>226</v>
      </c>
      <c r="P212" s="2" t="s">
        <v>511</v>
      </c>
      <c r="Q212" s="23" t="s">
        <v>361</v>
      </c>
      <c r="R212" s="13" t="s">
        <v>36</v>
      </c>
      <c r="S212" s="25">
        <f t="shared" si="228"/>
        <v>820224.26</v>
      </c>
      <c r="T212" s="25">
        <v>661439.4</v>
      </c>
      <c r="U212" s="25">
        <v>158784.85999999999</v>
      </c>
      <c r="V212" s="25">
        <f t="shared" si="226"/>
        <v>156420.81</v>
      </c>
      <c r="W212" s="25">
        <v>116724.6</v>
      </c>
      <c r="X212" s="25">
        <v>39696.21</v>
      </c>
      <c r="Y212" s="25">
        <f t="shared" si="229"/>
        <v>0</v>
      </c>
      <c r="Z212" s="25"/>
      <c r="AA212" s="25"/>
      <c r="AB212" s="25">
        <f t="shared" si="227"/>
        <v>19931.53</v>
      </c>
      <c r="AC212" s="25">
        <v>15880.9</v>
      </c>
      <c r="AD212" s="25">
        <v>4050.63</v>
      </c>
      <c r="AE212" s="25">
        <f t="shared" si="223"/>
        <v>996576.60000000009</v>
      </c>
      <c r="AF212" s="25"/>
      <c r="AG212" s="25">
        <f t="shared" si="224"/>
        <v>996576.60000000009</v>
      </c>
      <c r="AH212" s="28" t="s">
        <v>627</v>
      </c>
      <c r="AI212" s="72" t="s">
        <v>187</v>
      </c>
      <c r="AJ212" s="29">
        <f>89946.09+50286.21+28089.49</f>
        <v>168321.78999999998</v>
      </c>
      <c r="AK212" s="29">
        <f>8053.91+20294.8</f>
        <v>28348.71</v>
      </c>
    </row>
    <row r="213" spans="1:37" ht="141.75" x14ac:dyDescent="0.25">
      <c r="A213" s="5">
        <v>207</v>
      </c>
      <c r="B213" s="67">
        <v>116994</v>
      </c>
      <c r="C213" s="118">
        <v>399</v>
      </c>
      <c r="D213" s="2" t="s">
        <v>170</v>
      </c>
      <c r="E213" s="13" t="s">
        <v>165</v>
      </c>
      <c r="F213" s="119" t="s">
        <v>484</v>
      </c>
      <c r="G213" s="50" t="s">
        <v>512</v>
      </c>
      <c r="H213" s="6" t="s">
        <v>87</v>
      </c>
      <c r="I213" s="223" t="s">
        <v>385</v>
      </c>
      <c r="J213" s="51" t="s">
        <v>575</v>
      </c>
      <c r="K213" s="104">
        <v>43236</v>
      </c>
      <c r="L213" s="8">
        <v>44028</v>
      </c>
      <c r="M213" s="4">
        <f t="shared" si="225"/>
        <v>83.983862868396045</v>
      </c>
      <c r="N213" s="2" t="s">
        <v>359</v>
      </c>
      <c r="O213" s="2" t="s">
        <v>156</v>
      </c>
      <c r="P213" s="2" t="s">
        <v>156</v>
      </c>
      <c r="Q213" s="23" t="s">
        <v>157</v>
      </c>
      <c r="R213" s="13" t="s">
        <v>36</v>
      </c>
      <c r="S213" s="25">
        <f>T213+U213</f>
        <v>6570135.6299999999</v>
      </c>
      <c r="T213" s="25">
        <v>5298241.96</v>
      </c>
      <c r="U213" s="25">
        <v>1271893.67</v>
      </c>
      <c r="V213" s="25">
        <f>W213+X213</f>
        <v>0</v>
      </c>
      <c r="W213" s="25">
        <v>0</v>
      </c>
      <c r="X213" s="25">
        <v>0</v>
      </c>
      <c r="Y213" s="25">
        <f>Z213+AA213</f>
        <v>1252957.29</v>
      </c>
      <c r="Z213" s="25">
        <v>934983.88</v>
      </c>
      <c r="AA213" s="25">
        <v>317973.40999999997</v>
      </c>
      <c r="AB213" s="25">
        <f t="shared" si="227"/>
        <v>0</v>
      </c>
      <c r="AC213" s="25">
        <v>0</v>
      </c>
      <c r="AD213" s="25">
        <v>0</v>
      </c>
      <c r="AE213" s="25">
        <f t="shared" si="223"/>
        <v>7823092.9199999999</v>
      </c>
      <c r="AF213" s="25">
        <v>0</v>
      </c>
      <c r="AG213" s="25">
        <f t="shared" si="224"/>
        <v>7823092.9199999999</v>
      </c>
      <c r="AH213" s="28" t="s">
        <v>627</v>
      </c>
      <c r="AI213" s="72"/>
      <c r="AJ213" s="29">
        <v>4248.74</v>
      </c>
      <c r="AK213" s="29">
        <v>0</v>
      </c>
    </row>
    <row r="214" spans="1:37" ht="180" x14ac:dyDescent="0.25">
      <c r="A214" s="5">
        <v>208</v>
      </c>
      <c r="B214" s="67">
        <v>112921</v>
      </c>
      <c r="C214" s="118">
        <v>288</v>
      </c>
      <c r="D214" s="2" t="s">
        <v>170</v>
      </c>
      <c r="E214" s="13" t="s">
        <v>165</v>
      </c>
      <c r="F214" s="119" t="s">
        <v>357</v>
      </c>
      <c r="G214" s="148" t="s">
        <v>514</v>
      </c>
      <c r="H214" s="6" t="s">
        <v>513</v>
      </c>
      <c r="I214" s="13" t="s">
        <v>515</v>
      </c>
      <c r="J214" s="51" t="s">
        <v>516</v>
      </c>
      <c r="K214" s="104">
        <v>43236</v>
      </c>
      <c r="L214" s="8">
        <v>43724</v>
      </c>
      <c r="M214" s="4">
        <f t="shared" si="225"/>
        <v>82.304185665928145</v>
      </c>
      <c r="N214" s="2" t="s">
        <v>359</v>
      </c>
      <c r="O214" s="2" t="s">
        <v>791</v>
      </c>
      <c r="P214" s="2" t="s">
        <v>791</v>
      </c>
      <c r="Q214" s="23" t="s">
        <v>361</v>
      </c>
      <c r="R214" s="13" t="s">
        <v>36</v>
      </c>
      <c r="S214" s="25">
        <f>T214+U214</f>
        <v>692528.20000000007</v>
      </c>
      <c r="T214" s="25">
        <v>558463.66</v>
      </c>
      <c r="U214" s="25">
        <v>134064.54</v>
      </c>
      <c r="V214" s="25">
        <f>W214+X214</f>
        <v>132068.53999999998</v>
      </c>
      <c r="W214" s="25">
        <v>98552.4</v>
      </c>
      <c r="X214" s="25">
        <v>33516.14</v>
      </c>
      <c r="Y214" s="25">
        <f>Z214+AA214</f>
        <v>0</v>
      </c>
      <c r="Z214" s="25">
        <v>0</v>
      </c>
      <c r="AA214" s="25">
        <v>0</v>
      </c>
      <c r="AB214" s="25">
        <f t="shared" si="227"/>
        <v>16828.510000000002</v>
      </c>
      <c r="AC214" s="25">
        <v>13408.5</v>
      </c>
      <c r="AD214" s="25">
        <v>3420.01</v>
      </c>
      <c r="AE214" s="25">
        <f t="shared" ref="AE214:AE232" si="238">S214+V214+Y214+AB214</f>
        <v>841425.25</v>
      </c>
      <c r="AF214" s="25">
        <v>0</v>
      </c>
      <c r="AG214" s="25">
        <f t="shared" si="224"/>
        <v>841425.25</v>
      </c>
      <c r="AH214" s="28" t="s">
        <v>627</v>
      </c>
      <c r="AI214" s="72"/>
      <c r="AJ214" s="29">
        <f>59000+45054.47-7168.82+43487.54</f>
        <v>140373.19</v>
      </c>
      <c r="AK214" s="29">
        <f>15760.94+11008.93</f>
        <v>26769.870000000003</v>
      </c>
    </row>
    <row r="215" spans="1:37" ht="141.75" x14ac:dyDescent="0.25">
      <c r="A215" s="2">
        <v>209</v>
      </c>
      <c r="B215" s="67">
        <v>122235</v>
      </c>
      <c r="C215" s="118">
        <v>60</v>
      </c>
      <c r="D215" s="2" t="s">
        <v>168</v>
      </c>
      <c r="E215" s="13" t="s">
        <v>169</v>
      </c>
      <c r="F215" s="119" t="s">
        <v>142</v>
      </c>
      <c r="G215" s="148" t="s">
        <v>517</v>
      </c>
      <c r="H215" s="2" t="s">
        <v>518</v>
      </c>
      <c r="I215" s="13" t="s">
        <v>187</v>
      </c>
      <c r="J215" s="51" t="s">
        <v>519</v>
      </c>
      <c r="K215" s="104">
        <v>43236</v>
      </c>
      <c r="L215" s="8">
        <v>44302</v>
      </c>
      <c r="M215" s="4">
        <f>S215/AE215*100</f>
        <v>83.983862861012312</v>
      </c>
      <c r="N215" s="2" t="s">
        <v>359</v>
      </c>
      <c r="O215" s="2" t="s">
        <v>347</v>
      </c>
      <c r="P215" s="2" t="s">
        <v>347</v>
      </c>
      <c r="Q215" s="23" t="s">
        <v>157</v>
      </c>
      <c r="R215" s="2" t="s">
        <v>36</v>
      </c>
      <c r="S215" s="25">
        <f>T215+U215</f>
        <v>9422880.1500000004</v>
      </c>
      <c r="T215" s="25">
        <v>7598731.8700000001</v>
      </c>
      <c r="U215" s="25">
        <v>1824148.28</v>
      </c>
      <c r="V215" s="25">
        <f t="shared" si="226"/>
        <v>0</v>
      </c>
      <c r="W215" s="25"/>
      <c r="X215" s="25"/>
      <c r="Y215" s="25">
        <f t="shared" si="229"/>
        <v>1796989.75</v>
      </c>
      <c r="Z215" s="25">
        <v>1340952.68</v>
      </c>
      <c r="AA215" s="25">
        <v>456037.07</v>
      </c>
      <c r="AB215" s="25">
        <f>AC215+AD215</f>
        <v>0</v>
      </c>
      <c r="AC215" s="25"/>
      <c r="AD215" s="25"/>
      <c r="AE215" s="25">
        <f t="shared" si="238"/>
        <v>11219869.9</v>
      </c>
      <c r="AF215" s="25">
        <v>0</v>
      </c>
      <c r="AG215" s="25">
        <f>AE215+AF215</f>
        <v>11219869.9</v>
      </c>
      <c r="AH215" s="28" t="s">
        <v>627</v>
      </c>
      <c r="AI215" s="72" t="s">
        <v>187</v>
      </c>
      <c r="AJ215" s="29">
        <f>177000+30000-137868.19</f>
        <v>69131.81</v>
      </c>
      <c r="AK215" s="29">
        <v>0</v>
      </c>
    </row>
    <row r="216" spans="1:37" ht="141.75" x14ac:dyDescent="0.25">
      <c r="A216" s="5">
        <v>210</v>
      </c>
      <c r="B216" s="67">
        <v>113205</v>
      </c>
      <c r="C216" s="118">
        <v>286</v>
      </c>
      <c r="D216" s="2" t="s">
        <v>170</v>
      </c>
      <c r="E216" s="13" t="s">
        <v>165</v>
      </c>
      <c r="F216" s="119" t="s">
        <v>357</v>
      </c>
      <c r="G216" s="148" t="s">
        <v>520</v>
      </c>
      <c r="H216" s="6" t="s">
        <v>521</v>
      </c>
      <c r="I216" s="13" t="s">
        <v>522</v>
      </c>
      <c r="J216" s="51" t="s">
        <v>576</v>
      </c>
      <c r="K216" s="104">
        <v>43243</v>
      </c>
      <c r="L216" s="8">
        <v>43669</v>
      </c>
      <c r="M216" s="4">
        <f t="shared" si="225"/>
        <v>82.304187102769717</v>
      </c>
      <c r="N216" s="2" t="s">
        <v>359</v>
      </c>
      <c r="O216" s="2" t="s">
        <v>347</v>
      </c>
      <c r="P216" s="2" t="s">
        <v>347</v>
      </c>
      <c r="Q216" s="23" t="s">
        <v>157</v>
      </c>
      <c r="R216" s="2" t="s">
        <v>36</v>
      </c>
      <c r="S216" s="25">
        <f t="shared" si="228"/>
        <v>750653.75</v>
      </c>
      <c r="T216" s="25">
        <v>605336.84</v>
      </c>
      <c r="U216" s="25">
        <v>145316.91</v>
      </c>
      <c r="V216" s="25">
        <f t="shared" si="226"/>
        <v>143153.35999999999</v>
      </c>
      <c r="W216" s="25">
        <v>106824.15</v>
      </c>
      <c r="X216" s="25">
        <v>36329.21</v>
      </c>
      <c r="Y216" s="25">
        <f t="shared" si="229"/>
        <v>0</v>
      </c>
      <c r="Z216" s="25">
        <v>0</v>
      </c>
      <c r="AA216" s="25">
        <v>0</v>
      </c>
      <c r="AB216" s="25">
        <f t="shared" ref="AB216:AB232" si="239">AC216+AD216</f>
        <v>18240.96</v>
      </c>
      <c r="AC216" s="25">
        <v>14533.9</v>
      </c>
      <c r="AD216" s="25">
        <v>3707.06</v>
      </c>
      <c r="AE216" s="25">
        <f t="shared" si="238"/>
        <v>912048.07</v>
      </c>
      <c r="AF216" s="25">
        <v>0</v>
      </c>
      <c r="AG216" s="25">
        <f t="shared" si="224"/>
        <v>912048.07</v>
      </c>
      <c r="AH216" s="28" t="s">
        <v>627</v>
      </c>
      <c r="AI216" s="72"/>
      <c r="AJ216" s="29">
        <f>80989.07+73791.77+71604.65</f>
        <v>226385.49000000002</v>
      </c>
      <c r="AK216" s="29">
        <f>12124.41+13655.35</f>
        <v>25779.760000000002</v>
      </c>
    </row>
    <row r="217" spans="1:37" ht="409.5" x14ac:dyDescent="0.25">
      <c r="A217" s="5">
        <v>211</v>
      </c>
      <c r="B217" s="67">
        <v>111084</v>
      </c>
      <c r="C217" s="118">
        <v>343</v>
      </c>
      <c r="D217" s="2" t="s">
        <v>178</v>
      </c>
      <c r="E217" s="13" t="s">
        <v>165</v>
      </c>
      <c r="F217" s="119" t="s">
        <v>357</v>
      </c>
      <c r="G217" s="224" t="s">
        <v>523</v>
      </c>
      <c r="H217" s="225" t="s">
        <v>524</v>
      </c>
      <c r="I217" s="13" t="s">
        <v>523</v>
      </c>
      <c r="J217" s="51" t="s">
        <v>577</v>
      </c>
      <c r="K217" s="104">
        <v>43243</v>
      </c>
      <c r="L217" s="8">
        <v>43669</v>
      </c>
      <c r="M217" s="4">
        <f t="shared" si="225"/>
        <v>82.304185103544512</v>
      </c>
      <c r="N217" s="2" t="s">
        <v>359</v>
      </c>
      <c r="O217" s="2" t="s">
        <v>156</v>
      </c>
      <c r="P217" s="2" t="s">
        <v>156</v>
      </c>
      <c r="Q217" s="23" t="s">
        <v>361</v>
      </c>
      <c r="R217" s="2" t="s">
        <v>36</v>
      </c>
      <c r="S217" s="25">
        <f t="shared" si="228"/>
        <v>698744.26</v>
      </c>
      <c r="T217" s="226">
        <v>563476.37</v>
      </c>
      <c r="U217" s="226">
        <v>135267.89000000001</v>
      </c>
      <c r="V217" s="25">
        <f t="shared" si="226"/>
        <v>133253.97999999998</v>
      </c>
      <c r="W217" s="226">
        <v>99437.01</v>
      </c>
      <c r="X217" s="227">
        <v>33816.97</v>
      </c>
      <c r="Y217" s="25">
        <f t="shared" si="229"/>
        <v>0</v>
      </c>
      <c r="Z217" s="25"/>
      <c r="AA217" s="25"/>
      <c r="AB217" s="25">
        <f t="shared" si="239"/>
        <v>16979.560000000001</v>
      </c>
      <c r="AC217" s="226">
        <v>13528.85</v>
      </c>
      <c r="AD217" s="228">
        <v>3450.71</v>
      </c>
      <c r="AE217" s="25">
        <f t="shared" si="238"/>
        <v>848977.8</v>
      </c>
      <c r="AF217" s="25">
        <v>0</v>
      </c>
      <c r="AG217" s="25">
        <f t="shared" si="224"/>
        <v>848977.8</v>
      </c>
      <c r="AH217" s="28" t="s">
        <v>627</v>
      </c>
      <c r="AI217" s="72"/>
      <c r="AJ217" s="29">
        <f>81482.69+89509.54</f>
        <v>170992.22999999998</v>
      </c>
      <c r="AK217" s="29">
        <f>12927.23+3853.32</f>
        <v>16780.55</v>
      </c>
    </row>
    <row r="218" spans="1:37" ht="409.5" x14ac:dyDescent="0.25">
      <c r="A218" s="2">
        <v>212</v>
      </c>
      <c r="B218" s="67">
        <v>110679</v>
      </c>
      <c r="C218" s="118">
        <v>197</v>
      </c>
      <c r="D218" s="2" t="s">
        <v>172</v>
      </c>
      <c r="E218" s="13" t="s">
        <v>165</v>
      </c>
      <c r="F218" s="119" t="s">
        <v>357</v>
      </c>
      <c r="G218" s="52" t="s">
        <v>525</v>
      </c>
      <c r="H218" s="20" t="s">
        <v>528</v>
      </c>
      <c r="I218" s="13" t="s">
        <v>187</v>
      </c>
      <c r="J218" s="11" t="s">
        <v>578</v>
      </c>
      <c r="K218" s="104">
        <v>43243</v>
      </c>
      <c r="L218" s="8">
        <v>43731</v>
      </c>
      <c r="M218" s="4">
        <f t="shared" si="225"/>
        <v>82.304185789589326</v>
      </c>
      <c r="N218" s="2" t="s">
        <v>359</v>
      </c>
      <c r="O218" s="2" t="s">
        <v>526</v>
      </c>
      <c r="P218" s="2" t="s">
        <v>527</v>
      </c>
      <c r="Q218" s="23" t="s">
        <v>361</v>
      </c>
      <c r="R218" s="2" t="s">
        <v>36</v>
      </c>
      <c r="S218" s="25">
        <f t="shared" si="228"/>
        <v>763944.72</v>
      </c>
      <c r="T218" s="25">
        <v>616054.86</v>
      </c>
      <c r="U218" s="25">
        <v>147889.85999999999</v>
      </c>
      <c r="V218" s="25">
        <f t="shared" si="226"/>
        <v>145688.03</v>
      </c>
      <c r="W218" s="25">
        <v>108715.56</v>
      </c>
      <c r="X218" s="25">
        <v>36972.47</v>
      </c>
      <c r="Y218" s="25">
        <f t="shared" si="229"/>
        <v>0</v>
      </c>
      <c r="Z218" s="25"/>
      <c r="AA218" s="25"/>
      <c r="AB218" s="25">
        <f t="shared" si="239"/>
        <v>18563.93</v>
      </c>
      <c r="AC218" s="25">
        <v>14791.23</v>
      </c>
      <c r="AD218" s="25">
        <v>3772.7</v>
      </c>
      <c r="AE218" s="25">
        <f t="shared" si="238"/>
        <v>928196.68</v>
      </c>
      <c r="AF218" s="25">
        <v>0</v>
      </c>
      <c r="AG218" s="25">
        <f t="shared" si="224"/>
        <v>928196.68</v>
      </c>
      <c r="AH218" s="28" t="s">
        <v>627</v>
      </c>
      <c r="AI218" s="53" t="s">
        <v>187</v>
      </c>
      <c r="AJ218" s="29">
        <f>155523.41+47135.61-8611.45</f>
        <v>194047.57</v>
      </c>
      <c r="AK218" s="29">
        <f>11958.04+8988.99+16058.8</f>
        <v>37005.83</v>
      </c>
    </row>
    <row r="219" spans="1:37" ht="173.25" x14ac:dyDescent="0.25">
      <c r="A219" s="5">
        <v>213</v>
      </c>
      <c r="B219" s="67">
        <v>112787</v>
      </c>
      <c r="C219" s="118">
        <v>276</v>
      </c>
      <c r="D219" s="2" t="s">
        <v>174</v>
      </c>
      <c r="E219" s="13" t="s">
        <v>165</v>
      </c>
      <c r="F219" s="119" t="s">
        <v>357</v>
      </c>
      <c r="G219" s="54" t="s">
        <v>529</v>
      </c>
      <c r="H219" s="54" t="s">
        <v>530</v>
      </c>
      <c r="I219" s="13" t="s">
        <v>532</v>
      </c>
      <c r="J219" s="11" t="s">
        <v>533</v>
      </c>
      <c r="K219" s="104">
        <v>43243</v>
      </c>
      <c r="L219" s="8">
        <v>43731</v>
      </c>
      <c r="M219" s="4">
        <f t="shared" si="225"/>
        <v>82.304187377441963</v>
      </c>
      <c r="N219" s="2" t="s">
        <v>359</v>
      </c>
      <c r="O219" s="2" t="s">
        <v>531</v>
      </c>
      <c r="P219" s="2" t="s">
        <v>531</v>
      </c>
      <c r="Q219" s="23" t="s">
        <v>361</v>
      </c>
      <c r="R219" s="2" t="s">
        <v>36</v>
      </c>
      <c r="S219" s="25">
        <f t="shared" si="228"/>
        <v>813947.08000000007</v>
      </c>
      <c r="T219" s="25">
        <v>656377.4</v>
      </c>
      <c r="U219" s="25">
        <v>157569.68</v>
      </c>
      <c r="V219" s="25">
        <f t="shared" si="226"/>
        <v>155223.71000000002</v>
      </c>
      <c r="W219" s="25">
        <v>115831.3</v>
      </c>
      <c r="X219" s="25">
        <v>39392.410000000003</v>
      </c>
      <c r="Y219" s="25">
        <f t="shared" si="229"/>
        <v>0</v>
      </c>
      <c r="Z219" s="25"/>
      <c r="AA219" s="25"/>
      <c r="AB219" s="25">
        <f t="shared" si="239"/>
        <v>19778.990000000002</v>
      </c>
      <c r="AC219" s="25">
        <v>15759.36</v>
      </c>
      <c r="AD219" s="25">
        <v>4019.63</v>
      </c>
      <c r="AE219" s="25">
        <f t="shared" si="238"/>
        <v>988949.78</v>
      </c>
      <c r="AF219" s="25">
        <v>0</v>
      </c>
      <c r="AG219" s="25">
        <f t="shared" si="224"/>
        <v>988949.78</v>
      </c>
      <c r="AH219" s="28" t="s">
        <v>627</v>
      </c>
      <c r="AI219" s="72" t="s">
        <v>187</v>
      </c>
      <c r="AJ219" s="29">
        <f>188133.51-12724.93+92979.94</f>
        <v>268388.52</v>
      </c>
      <c r="AK219" s="29">
        <f>20686.62+12745.2+880.06</f>
        <v>34311.879999999997</v>
      </c>
    </row>
    <row r="220" spans="1:37" ht="141.75" x14ac:dyDescent="0.25">
      <c r="A220" s="5">
        <v>214</v>
      </c>
      <c r="B220" s="67">
        <v>110998</v>
      </c>
      <c r="C220" s="118">
        <v>333</v>
      </c>
      <c r="D220" s="2" t="s">
        <v>171</v>
      </c>
      <c r="E220" s="13" t="s">
        <v>165</v>
      </c>
      <c r="F220" s="119" t="s">
        <v>357</v>
      </c>
      <c r="G220" s="54" t="s">
        <v>534</v>
      </c>
      <c r="H220" s="54" t="s">
        <v>535</v>
      </c>
      <c r="I220" s="13" t="s">
        <v>187</v>
      </c>
      <c r="J220" s="11" t="s">
        <v>579</v>
      </c>
      <c r="K220" s="104">
        <v>43244</v>
      </c>
      <c r="L220" s="8">
        <v>43732</v>
      </c>
      <c r="M220" s="4">
        <f t="shared" si="225"/>
        <v>82.304186800362686</v>
      </c>
      <c r="N220" s="2" t="s">
        <v>359</v>
      </c>
      <c r="O220" s="2" t="s">
        <v>156</v>
      </c>
      <c r="P220" s="2" t="s">
        <v>156</v>
      </c>
      <c r="Q220" s="23" t="s">
        <v>361</v>
      </c>
      <c r="R220" s="2" t="s">
        <v>36</v>
      </c>
      <c r="S220" s="25">
        <f t="shared" si="228"/>
        <v>802303.17999999993</v>
      </c>
      <c r="T220" s="25">
        <v>646987.61</v>
      </c>
      <c r="U220" s="25">
        <v>155315.57</v>
      </c>
      <c r="V220" s="25">
        <f t="shared" si="226"/>
        <v>153003.18</v>
      </c>
      <c r="W220" s="25">
        <v>114174.29</v>
      </c>
      <c r="X220" s="25">
        <v>38828.89</v>
      </c>
      <c r="Y220" s="25">
        <f t="shared" si="229"/>
        <v>0</v>
      </c>
      <c r="Z220" s="229"/>
      <c r="AA220" s="229"/>
      <c r="AB220" s="25">
        <f t="shared" si="239"/>
        <v>19496.03</v>
      </c>
      <c r="AC220" s="25">
        <v>15533.9</v>
      </c>
      <c r="AD220" s="25">
        <v>3962.13</v>
      </c>
      <c r="AE220" s="25">
        <f t="shared" si="238"/>
        <v>974802.3899999999</v>
      </c>
      <c r="AF220" s="25">
        <v>0</v>
      </c>
      <c r="AG220" s="25">
        <f t="shared" si="224"/>
        <v>974802.3899999999</v>
      </c>
      <c r="AH220" s="28" t="s">
        <v>627</v>
      </c>
      <c r="AI220" s="72" t="s">
        <v>459</v>
      </c>
      <c r="AJ220" s="29">
        <f>140575.46+6566.7</f>
        <v>147142.16</v>
      </c>
      <c r="AK220" s="29">
        <f>11583.01+16477.73</f>
        <v>28060.739999999998</v>
      </c>
    </row>
    <row r="221" spans="1:37" ht="141.75" x14ac:dyDescent="0.25">
      <c r="A221" s="2">
        <v>215</v>
      </c>
      <c r="B221" s="67">
        <v>115539</v>
      </c>
      <c r="C221" s="118">
        <v>396</v>
      </c>
      <c r="D221" s="2" t="s">
        <v>163</v>
      </c>
      <c r="E221" s="13" t="s">
        <v>165</v>
      </c>
      <c r="F221" s="119" t="s">
        <v>484</v>
      </c>
      <c r="G221" s="6" t="s">
        <v>541</v>
      </c>
      <c r="H221" s="6" t="s">
        <v>542</v>
      </c>
      <c r="I221" s="13" t="s">
        <v>543</v>
      </c>
      <c r="J221" s="11" t="s">
        <v>580</v>
      </c>
      <c r="K221" s="104">
        <v>43249</v>
      </c>
      <c r="L221" s="8">
        <v>44041</v>
      </c>
      <c r="M221" s="4">
        <f t="shared" si="225"/>
        <v>83.983861240799271</v>
      </c>
      <c r="N221" s="2" t="s">
        <v>359</v>
      </c>
      <c r="O221" s="2" t="s">
        <v>156</v>
      </c>
      <c r="P221" s="2" t="s">
        <v>156</v>
      </c>
      <c r="Q221" s="23" t="s">
        <v>157</v>
      </c>
      <c r="R221" s="2" t="s">
        <v>36</v>
      </c>
      <c r="S221" s="25">
        <f t="shared" si="228"/>
        <v>2264152.09</v>
      </c>
      <c r="T221" s="25">
        <v>1825841.4</v>
      </c>
      <c r="U221" s="25">
        <v>438310.69</v>
      </c>
      <c r="V221" s="25">
        <f t="shared" si="226"/>
        <v>159763.60999999999</v>
      </c>
      <c r="W221" s="25">
        <v>118066.66</v>
      </c>
      <c r="X221" s="25">
        <v>41696.949999999997</v>
      </c>
      <c r="Y221" s="25">
        <f t="shared" si="229"/>
        <v>272021.42</v>
      </c>
      <c r="Z221" s="25">
        <v>204140.68</v>
      </c>
      <c r="AA221" s="25">
        <v>67880.740000000005</v>
      </c>
      <c r="AB221" s="25">
        <f t="shared" si="239"/>
        <v>0</v>
      </c>
      <c r="AC221" s="25">
        <v>0</v>
      </c>
      <c r="AD221" s="25">
        <v>0</v>
      </c>
      <c r="AE221" s="25">
        <f t="shared" si="238"/>
        <v>2695937.1199999996</v>
      </c>
      <c r="AF221" s="25">
        <v>0</v>
      </c>
      <c r="AG221" s="25">
        <f t="shared" si="224"/>
        <v>2695937.1199999996</v>
      </c>
      <c r="AH221" s="28" t="s">
        <v>627</v>
      </c>
      <c r="AI221" s="72"/>
      <c r="AJ221" s="29">
        <v>96923.08</v>
      </c>
      <c r="AK221" s="29">
        <v>0</v>
      </c>
    </row>
    <row r="222" spans="1:37" ht="205.5" thickBot="1" x14ac:dyDescent="0.3">
      <c r="A222" s="5">
        <v>216</v>
      </c>
      <c r="B222" s="67">
        <v>118716</v>
      </c>
      <c r="C222" s="118">
        <v>455</v>
      </c>
      <c r="D222" s="2" t="s">
        <v>163</v>
      </c>
      <c r="E222" s="13" t="s">
        <v>1094</v>
      </c>
      <c r="F222" s="119" t="s">
        <v>546</v>
      </c>
      <c r="G222" s="6" t="s">
        <v>544</v>
      </c>
      <c r="H222" s="54" t="s">
        <v>545</v>
      </c>
      <c r="I222" s="13" t="s">
        <v>187</v>
      </c>
      <c r="J222" s="11" t="s">
        <v>581</v>
      </c>
      <c r="K222" s="104">
        <v>43249</v>
      </c>
      <c r="L222" s="8">
        <v>43980</v>
      </c>
      <c r="M222" s="4">
        <f t="shared" si="225"/>
        <v>83.983862841968545</v>
      </c>
      <c r="N222" s="2" t="s">
        <v>359</v>
      </c>
      <c r="O222" s="2" t="s">
        <v>156</v>
      </c>
      <c r="P222" s="2" t="s">
        <v>156</v>
      </c>
      <c r="Q222" s="23" t="s">
        <v>157</v>
      </c>
      <c r="R222" s="2" t="s">
        <v>36</v>
      </c>
      <c r="S222" s="25">
        <f t="shared" si="228"/>
        <v>2343689.42</v>
      </c>
      <c r="T222" s="25">
        <v>1889981.32</v>
      </c>
      <c r="U222" s="25">
        <v>453708.1</v>
      </c>
      <c r="V222" s="25">
        <f t="shared" si="226"/>
        <v>0</v>
      </c>
      <c r="W222" s="25"/>
      <c r="X222" s="25"/>
      <c r="Y222" s="25">
        <f t="shared" si="229"/>
        <v>446953.14</v>
      </c>
      <c r="Z222" s="25">
        <v>333526.12</v>
      </c>
      <c r="AA222" s="25">
        <v>113427.02</v>
      </c>
      <c r="AB222" s="25">
        <f t="shared" si="239"/>
        <v>0</v>
      </c>
      <c r="AC222" s="25"/>
      <c r="AD222" s="25"/>
      <c r="AE222" s="25">
        <f t="shared" si="238"/>
        <v>2790642.56</v>
      </c>
      <c r="AF222" s="25">
        <v>0</v>
      </c>
      <c r="AG222" s="25">
        <f t="shared" si="224"/>
        <v>2790642.56</v>
      </c>
      <c r="AH222" s="28" t="s">
        <v>627</v>
      </c>
      <c r="AI222" s="72"/>
      <c r="AJ222" s="29">
        <f>145011.94+359253.32</f>
        <v>504265.26</v>
      </c>
      <c r="AK222" s="29">
        <v>0</v>
      </c>
    </row>
    <row r="223" spans="1:37" ht="270" x14ac:dyDescent="0.25">
      <c r="A223" s="5">
        <v>217</v>
      </c>
      <c r="B223" s="67">
        <v>109777</v>
      </c>
      <c r="C223" s="118">
        <v>363</v>
      </c>
      <c r="D223" s="2" t="s">
        <v>177</v>
      </c>
      <c r="E223" s="13" t="s">
        <v>165</v>
      </c>
      <c r="F223" s="135" t="s">
        <v>357</v>
      </c>
      <c r="G223" s="50" t="s">
        <v>548</v>
      </c>
      <c r="H223" s="174" t="s">
        <v>547</v>
      </c>
      <c r="I223" s="174" t="s">
        <v>187</v>
      </c>
      <c r="J223" s="230" t="s">
        <v>549</v>
      </c>
      <c r="K223" s="231">
        <v>43251</v>
      </c>
      <c r="L223" s="8">
        <v>43708</v>
      </c>
      <c r="M223" s="4">
        <f t="shared" si="225"/>
        <v>82.304185429325983</v>
      </c>
      <c r="N223" s="2" t="s">
        <v>359</v>
      </c>
      <c r="O223" s="2" t="s">
        <v>297</v>
      </c>
      <c r="P223" s="2" t="s">
        <v>458</v>
      </c>
      <c r="Q223" s="23" t="s">
        <v>361</v>
      </c>
      <c r="R223" s="2" t="s">
        <v>36</v>
      </c>
      <c r="S223" s="25">
        <f t="shared" si="228"/>
        <v>809738</v>
      </c>
      <c r="T223" s="25">
        <v>652983.16</v>
      </c>
      <c r="U223" s="25">
        <v>156754.84</v>
      </c>
      <c r="V223" s="25">
        <f t="shared" si="226"/>
        <v>154421.03</v>
      </c>
      <c r="W223" s="25">
        <v>115232.31</v>
      </c>
      <c r="X223" s="25">
        <v>39188.720000000001</v>
      </c>
      <c r="Y223" s="25">
        <f>Z223+AA223</f>
        <v>0</v>
      </c>
      <c r="Z223" s="25">
        <v>0</v>
      </c>
      <c r="AA223" s="25">
        <v>0</v>
      </c>
      <c r="AB223" s="25">
        <f>AC223+AD223</f>
        <v>19676.72</v>
      </c>
      <c r="AC223" s="25">
        <v>15677.86</v>
      </c>
      <c r="AD223" s="25">
        <v>3998.86</v>
      </c>
      <c r="AE223" s="25">
        <f t="shared" si="238"/>
        <v>983835.75</v>
      </c>
      <c r="AF223" s="113">
        <v>0</v>
      </c>
      <c r="AG223" s="25">
        <f t="shared" si="224"/>
        <v>983835.75</v>
      </c>
      <c r="AH223" s="28" t="s">
        <v>627</v>
      </c>
      <c r="AI223" s="72"/>
      <c r="AJ223" s="76">
        <f>98383.57+67957.2+131759+61030.49</f>
        <v>359130.26</v>
      </c>
      <c r="AK223" s="29">
        <f>12959.77+25127.1+30401.05</f>
        <v>68487.92</v>
      </c>
    </row>
    <row r="224" spans="1:37" ht="189" x14ac:dyDescent="0.25">
      <c r="A224" s="2">
        <v>218</v>
      </c>
      <c r="B224" s="67">
        <v>112263</v>
      </c>
      <c r="C224" s="118">
        <v>212</v>
      </c>
      <c r="D224" s="2" t="s">
        <v>173</v>
      </c>
      <c r="E224" s="13" t="s">
        <v>165</v>
      </c>
      <c r="F224" s="119" t="s">
        <v>357</v>
      </c>
      <c r="G224" s="54" t="s">
        <v>552</v>
      </c>
      <c r="H224" s="54" t="s">
        <v>553</v>
      </c>
      <c r="I224" s="13" t="s">
        <v>187</v>
      </c>
      <c r="J224" s="11" t="s">
        <v>582</v>
      </c>
      <c r="K224" s="104">
        <v>43257</v>
      </c>
      <c r="L224" s="8">
        <v>43744</v>
      </c>
      <c r="M224" s="4">
        <f t="shared" si="225"/>
        <v>82.304186636665435</v>
      </c>
      <c r="N224" s="2" t="s">
        <v>359</v>
      </c>
      <c r="O224" s="2" t="s">
        <v>347</v>
      </c>
      <c r="P224" s="2" t="s">
        <v>583</v>
      </c>
      <c r="Q224" s="23" t="s">
        <v>361</v>
      </c>
      <c r="R224" s="2" t="s">
        <v>36</v>
      </c>
      <c r="S224" s="25">
        <v>804068.06</v>
      </c>
      <c r="T224" s="25">
        <v>648410.84</v>
      </c>
      <c r="U224" s="25">
        <v>155657.22</v>
      </c>
      <c r="V224" s="25">
        <v>153339.75</v>
      </c>
      <c r="W224" s="25">
        <v>114425.44</v>
      </c>
      <c r="X224" s="25">
        <v>38914.300000000003</v>
      </c>
      <c r="Y224" s="66">
        <f>Z224+AA224</f>
        <v>0</v>
      </c>
      <c r="Z224" s="25">
        <v>0</v>
      </c>
      <c r="AA224" s="25">
        <v>0</v>
      </c>
      <c r="AB224" s="25">
        <v>19538.919999999998</v>
      </c>
      <c r="AC224" s="25">
        <v>15568.08</v>
      </c>
      <c r="AD224" s="25">
        <v>3970.84</v>
      </c>
      <c r="AE224" s="25">
        <f>S224+V224+Y224+AB224</f>
        <v>976946.7300000001</v>
      </c>
      <c r="AF224" s="25">
        <v>0</v>
      </c>
      <c r="AG224" s="25">
        <f t="shared" si="224"/>
        <v>976946.7300000001</v>
      </c>
      <c r="AH224" s="28" t="s">
        <v>627</v>
      </c>
      <c r="AI224" s="72"/>
      <c r="AJ224" s="29">
        <f>84638.59+81518.25+15437.85</f>
        <v>181594.69</v>
      </c>
      <c r="AK224" s="29">
        <f>13056.08+21574.93</f>
        <v>34631.01</v>
      </c>
    </row>
    <row r="225" spans="1:37" ht="141.75" x14ac:dyDescent="0.25">
      <c r="A225" s="5">
        <v>219</v>
      </c>
      <c r="B225" s="67">
        <v>118978</v>
      </c>
      <c r="C225" s="118">
        <v>453</v>
      </c>
      <c r="D225" s="2" t="s">
        <v>163</v>
      </c>
      <c r="E225" s="13" t="s">
        <v>1094</v>
      </c>
      <c r="F225" s="119" t="s">
        <v>546</v>
      </c>
      <c r="G225" s="54" t="s">
        <v>551</v>
      </c>
      <c r="H225" s="54" t="s">
        <v>550</v>
      </c>
      <c r="I225" s="13" t="s">
        <v>187</v>
      </c>
      <c r="J225" s="11" t="s">
        <v>589</v>
      </c>
      <c r="K225" s="104">
        <v>43257</v>
      </c>
      <c r="L225" s="8">
        <v>43988</v>
      </c>
      <c r="M225" s="4">
        <f t="shared" si="225"/>
        <v>83.98386277890792</v>
      </c>
      <c r="N225" s="2" t="s">
        <v>359</v>
      </c>
      <c r="O225" s="2" t="s">
        <v>156</v>
      </c>
      <c r="P225" s="2" t="s">
        <v>156</v>
      </c>
      <c r="Q225" s="23" t="s">
        <v>157</v>
      </c>
      <c r="R225" s="2" t="s">
        <v>36</v>
      </c>
      <c r="S225" s="25">
        <f t="shared" si="228"/>
        <v>10919952.98</v>
      </c>
      <c r="T225" s="25">
        <v>8805990.6699999999</v>
      </c>
      <c r="U225" s="25">
        <v>2113962.31</v>
      </c>
      <c r="V225" s="25">
        <f t="shared" si="226"/>
        <v>0</v>
      </c>
      <c r="W225" s="25">
        <v>0</v>
      </c>
      <c r="X225" s="25">
        <v>0</v>
      </c>
      <c r="Y225" s="25">
        <f t="shared" si="229"/>
        <v>2082488.94</v>
      </c>
      <c r="Z225" s="25">
        <v>1553998.37</v>
      </c>
      <c r="AA225" s="25">
        <v>528490.56999999995</v>
      </c>
      <c r="AB225" s="25">
        <f t="shared" si="239"/>
        <v>0</v>
      </c>
      <c r="AC225" s="25">
        <v>0</v>
      </c>
      <c r="AD225" s="25">
        <v>0</v>
      </c>
      <c r="AE225" s="25">
        <f t="shared" si="238"/>
        <v>13002441.92</v>
      </c>
      <c r="AF225" s="25">
        <v>1503920</v>
      </c>
      <c r="AG225" s="25">
        <f t="shared" si="224"/>
        <v>14506361.92</v>
      </c>
      <c r="AH225" s="28" t="s">
        <v>627</v>
      </c>
      <c r="AI225" s="72"/>
      <c r="AJ225" s="29">
        <v>104375.19</v>
      </c>
      <c r="AK225" s="29">
        <v>0</v>
      </c>
    </row>
    <row r="226" spans="1:37" ht="141.75" x14ac:dyDescent="0.25">
      <c r="A226" s="5">
        <v>220</v>
      </c>
      <c r="B226" s="67">
        <v>119317</v>
      </c>
      <c r="C226" s="118">
        <v>456</v>
      </c>
      <c r="D226" s="2" t="s">
        <v>163</v>
      </c>
      <c r="E226" s="13" t="s">
        <v>1094</v>
      </c>
      <c r="F226" s="119" t="s">
        <v>546</v>
      </c>
      <c r="G226" s="54" t="s">
        <v>590</v>
      </c>
      <c r="H226" s="54" t="s">
        <v>666</v>
      </c>
      <c r="I226" s="13" t="s">
        <v>187</v>
      </c>
      <c r="J226" s="11" t="s">
        <v>591</v>
      </c>
      <c r="K226" s="104">
        <v>43257</v>
      </c>
      <c r="L226" s="8">
        <v>43988</v>
      </c>
      <c r="M226" s="4">
        <f t="shared" si="225"/>
        <v>83.983862821417162</v>
      </c>
      <c r="N226" s="2" t="s">
        <v>359</v>
      </c>
      <c r="O226" s="2" t="s">
        <v>156</v>
      </c>
      <c r="P226" s="2" t="s">
        <v>156</v>
      </c>
      <c r="Q226" s="23" t="s">
        <v>157</v>
      </c>
      <c r="R226" s="2" t="s">
        <v>36</v>
      </c>
      <c r="S226" s="25">
        <f t="shared" si="228"/>
        <v>26702638.32</v>
      </c>
      <c r="T226" s="25">
        <v>21533351.34</v>
      </c>
      <c r="U226" s="25">
        <v>5169286.9800000004</v>
      </c>
      <c r="V226" s="25">
        <f t="shared" si="226"/>
        <v>0</v>
      </c>
      <c r="W226" s="25"/>
      <c r="X226" s="25"/>
      <c r="Y226" s="25">
        <f t="shared" si="229"/>
        <v>5092324.93</v>
      </c>
      <c r="Z226" s="25">
        <v>3800003.18</v>
      </c>
      <c r="AA226" s="25">
        <v>1292321.75</v>
      </c>
      <c r="AB226" s="25">
        <f t="shared" si="239"/>
        <v>0</v>
      </c>
      <c r="AC226" s="25">
        <v>0</v>
      </c>
      <c r="AD226" s="25">
        <v>0</v>
      </c>
      <c r="AE226" s="25">
        <f t="shared" si="238"/>
        <v>31794963.25</v>
      </c>
      <c r="AF226" s="25">
        <v>0</v>
      </c>
      <c r="AG226" s="25">
        <f t="shared" si="224"/>
        <v>31794963.25</v>
      </c>
      <c r="AH226" s="28" t="s">
        <v>627</v>
      </c>
      <c r="AI226" s="72"/>
      <c r="AJ226" s="29">
        <f>155213.76+241470.09</f>
        <v>396683.85</v>
      </c>
      <c r="AK226" s="29">
        <v>0</v>
      </c>
    </row>
    <row r="227" spans="1:37" ht="378" x14ac:dyDescent="0.25">
      <c r="A227" s="2">
        <v>221</v>
      </c>
      <c r="B227" s="67">
        <v>111319</v>
      </c>
      <c r="C227" s="118">
        <v>359</v>
      </c>
      <c r="D227" s="2" t="s">
        <v>177</v>
      </c>
      <c r="E227" s="13" t="s">
        <v>165</v>
      </c>
      <c r="F227" s="119" t="s">
        <v>357</v>
      </c>
      <c r="G227" s="232" t="s">
        <v>595</v>
      </c>
      <c r="H227" s="54" t="s">
        <v>593</v>
      </c>
      <c r="I227" s="90" t="s">
        <v>596</v>
      </c>
      <c r="J227" s="11" t="s">
        <v>597</v>
      </c>
      <c r="K227" s="104">
        <v>43256</v>
      </c>
      <c r="L227" s="8">
        <v>43743</v>
      </c>
      <c r="M227" s="4">
        <f t="shared" si="225"/>
        <v>82.304189744785745</v>
      </c>
      <c r="N227" s="2" t="s">
        <v>359</v>
      </c>
      <c r="O227" s="2" t="s">
        <v>865</v>
      </c>
      <c r="P227" s="2" t="s">
        <v>865</v>
      </c>
      <c r="Q227" s="23" t="s">
        <v>361</v>
      </c>
      <c r="R227" s="2" t="s">
        <v>36</v>
      </c>
      <c r="S227" s="25">
        <f t="shared" si="228"/>
        <v>822860.82000000007</v>
      </c>
      <c r="T227" s="25">
        <v>663565.56000000006</v>
      </c>
      <c r="U227" s="25">
        <v>159295.26</v>
      </c>
      <c r="V227" s="25">
        <f t="shared" si="226"/>
        <v>156923.62</v>
      </c>
      <c r="W227" s="25">
        <v>117099.8</v>
      </c>
      <c r="X227" s="25">
        <v>39823.82</v>
      </c>
      <c r="Y227" s="25">
        <f t="shared" si="229"/>
        <v>0</v>
      </c>
      <c r="Z227" s="25"/>
      <c r="AA227" s="25"/>
      <c r="AB227" s="25">
        <f t="shared" si="239"/>
        <v>19995.55</v>
      </c>
      <c r="AC227" s="25">
        <v>15931.91</v>
      </c>
      <c r="AD227" s="25">
        <v>4063.64</v>
      </c>
      <c r="AE227" s="25">
        <f t="shared" si="238"/>
        <v>999779.99000000011</v>
      </c>
      <c r="AF227" s="25">
        <v>0</v>
      </c>
      <c r="AG227" s="25">
        <f t="shared" si="224"/>
        <v>999779.99000000011</v>
      </c>
      <c r="AH227" s="28" t="s">
        <v>627</v>
      </c>
      <c r="AI227" s="72" t="s">
        <v>1117</v>
      </c>
      <c r="AJ227" s="29">
        <f>115253.85+83737.14+92702.34</f>
        <v>291693.32999999996</v>
      </c>
      <c r="AK227" s="29">
        <f>18935.29+25587.45</f>
        <v>44522.740000000005</v>
      </c>
    </row>
    <row r="228" spans="1:37" ht="409.5" x14ac:dyDescent="0.25">
      <c r="A228" s="5">
        <v>222</v>
      </c>
      <c r="B228" s="67">
        <v>111320</v>
      </c>
      <c r="C228" s="118">
        <v>132</v>
      </c>
      <c r="D228" s="2" t="s">
        <v>176</v>
      </c>
      <c r="E228" s="13" t="s">
        <v>165</v>
      </c>
      <c r="F228" s="119" t="s">
        <v>357</v>
      </c>
      <c r="G228" s="54" t="s">
        <v>598</v>
      </c>
      <c r="H228" s="54" t="s">
        <v>599</v>
      </c>
      <c r="I228" s="13" t="s">
        <v>459</v>
      </c>
      <c r="J228" s="11" t="s">
        <v>600</v>
      </c>
      <c r="K228" s="104">
        <v>43258</v>
      </c>
      <c r="L228" s="8">
        <v>43745</v>
      </c>
      <c r="M228" s="4">
        <f t="shared" si="225"/>
        <v>82.304187096462158</v>
      </c>
      <c r="N228" s="2" t="s">
        <v>359</v>
      </c>
      <c r="O228" s="2" t="s">
        <v>347</v>
      </c>
      <c r="P228" s="2" t="s">
        <v>583</v>
      </c>
      <c r="Q228" s="23" t="s">
        <v>361</v>
      </c>
      <c r="R228" s="2" t="s">
        <v>36</v>
      </c>
      <c r="S228" s="25">
        <f t="shared" si="228"/>
        <v>745773.49</v>
      </c>
      <c r="T228" s="25">
        <v>601401.34</v>
      </c>
      <c r="U228" s="25">
        <v>144372.15</v>
      </c>
      <c r="V228" s="25">
        <f t="shared" si="226"/>
        <v>142222.68</v>
      </c>
      <c r="W228" s="25">
        <v>106129.65</v>
      </c>
      <c r="X228" s="25">
        <v>36093.03</v>
      </c>
      <c r="Y228" s="25">
        <f t="shared" si="229"/>
        <v>0</v>
      </c>
      <c r="Z228" s="25"/>
      <c r="AA228" s="25"/>
      <c r="AB228" s="25">
        <f t="shared" si="239"/>
        <v>18122.359700000001</v>
      </c>
      <c r="AC228" s="25">
        <v>14439.398999999999</v>
      </c>
      <c r="AD228" s="25">
        <v>3682.9607000000001</v>
      </c>
      <c r="AE228" s="25">
        <f t="shared" si="238"/>
        <v>906118.52969999996</v>
      </c>
      <c r="AF228" s="25"/>
      <c r="AG228" s="25">
        <f t="shared" si="224"/>
        <v>906118.52969999996</v>
      </c>
      <c r="AH228" s="28" t="s">
        <v>627</v>
      </c>
      <c r="AI228" s="72"/>
      <c r="AJ228" s="29">
        <f>218312.37+90611.85</f>
        <v>308924.21999999997</v>
      </c>
      <c r="AK228" s="29">
        <f>23379.78+18253.47</f>
        <v>41633.25</v>
      </c>
    </row>
    <row r="229" spans="1:37" ht="173.25" x14ac:dyDescent="0.25">
      <c r="A229" s="5">
        <v>223</v>
      </c>
      <c r="B229" s="67">
        <v>110527</v>
      </c>
      <c r="C229" s="118">
        <v>353</v>
      </c>
      <c r="D229" s="2" t="s">
        <v>177</v>
      </c>
      <c r="E229" s="13" t="s">
        <v>165</v>
      </c>
      <c r="F229" s="119" t="s">
        <v>357</v>
      </c>
      <c r="G229" s="54" t="s">
        <v>601</v>
      </c>
      <c r="H229" s="54" t="s">
        <v>602</v>
      </c>
      <c r="I229" s="13" t="s">
        <v>603</v>
      </c>
      <c r="J229" s="11" t="s">
        <v>604</v>
      </c>
      <c r="K229" s="104">
        <v>43258</v>
      </c>
      <c r="L229" s="8">
        <v>43745</v>
      </c>
      <c r="M229" s="4">
        <f t="shared" si="225"/>
        <v>82.304183804307399</v>
      </c>
      <c r="N229" s="2" t="s">
        <v>359</v>
      </c>
      <c r="O229" s="2" t="s">
        <v>347</v>
      </c>
      <c r="P229" s="2" t="s">
        <v>347</v>
      </c>
      <c r="Q229" s="23" t="s">
        <v>361</v>
      </c>
      <c r="R229" s="2" t="s">
        <v>36</v>
      </c>
      <c r="S229" s="25">
        <f t="shared" si="228"/>
        <v>797101.36999999988</v>
      </c>
      <c r="T229" s="25">
        <v>642792.81999999995</v>
      </c>
      <c r="U229" s="25">
        <v>154308.54999999999</v>
      </c>
      <c r="V229" s="25">
        <f t="shared" si="226"/>
        <v>152011.18</v>
      </c>
      <c r="W229" s="25">
        <v>113434.03</v>
      </c>
      <c r="X229" s="25">
        <v>38577.15</v>
      </c>
      <c r="Y229" s="25">
        <f t="shared" si="229"/>
        <v>0</v>
      </c>
      <c r="Z229" s="25"/>
      <c r="AA229" s="25"/>
      <c r="AB229" s="25">
        <f t="shared" si="239"/>
        <v>19369.649999999998</v>
      </c>
      <c r="AC229" s="25">
        <v>15433.21</v>
      </c>
      <c r="AD229" s="25">
        <v>3936.44</v>
      </c>
      <c r="AE229" s="25">
        <f t="shared" si="238"/>
        <v>968482.19999999984</v>
      </c>
      <c r="AF229" s="25"/>
      <c r="AG229" s="25">
        <f t="shared" si="224"/>
        <v>968482.19999999984</v>
      </c>
      <c r="AH229" s="28" t="s">
        <v>627</v>
      </c>
      <c r="AI229" s="72"/>
      <c r="AJ229" s="29">
        <f>151069.39+15306.08</f>
        <v>166375.47</v>
      </c>
      <c r="AK229" s="29">
        <f>10340.24+21388.37</f>
        <v>31728.61</v>
      </c>
    </row>
    <row r="230" spans="1:37" ht="204.75" x14ac:dyDescent="0.25">
      <c r="A230" s="2">
        <v>224</v>
      </c>
      <c r="B230" s="67">
        <v>112412</v>
      </c>
      <c r="C230" s="118">
        <v>269</v>
      </c>
      <c r="D230" s="2" t="s">
        <v>174</v>
      </c>
      <c r="E230" s="13" t="s">
        <v>165</v>
      </c>
      <c r="F230" s="119" t="s">
        <v>357</v>
      </c>
      <c r="G230" s="54" t="s">
        <v>605</v>
      </c>
      <c r="H230" s="232" t="s">
        <v>606</v>
      </c>
      <c r="I230" s="90" t="s">
        <v>607</v>
      </c>
      <c r="J230" s="11" t="s">
        <v>608</v>
      </c>
      <c r="K230" s="104">
        <v>43259</v>
      </c>
      <c r="L230" s="8">
        <v>43746</v>
      </c>
      <c r="M230" s="4">
        <f t="shared" si="225"/>
        <v>82.304183541065214</v>
      </c>
      <c r="N230" s="2" t="s">
        <v>359</v>
      </c>
      <c r="O230" s="2" t="s">
        <v>347</v>
      </c>
      <c r="P230" s="2" t="s">
        <v>347</v>
      </c>
      <c r="Q230" s="23" t="s">
        <v>361</v>
      </c>
      <c r="R230" s="2" t="s">
        <v>36</v>
      </c>
      <c r="S230" s="25">
        <f t="shared" si="228"/>
        <v>789670.74</v>
      </c>
      <c r="T230" s="25">
        <v>636800.65</v>
      </c>
      <c r="U230" s="25">
        <v>152870.09</v>
      </c>
      <c r="V230" s="25">
        <f t="shared" si="226"/>
        <v>150594.14000000001</v>
      </c>
      <c r="W230" s="25">
        <v>112376.61</v>
      </c>
      <c r="X230" s="25">
        <v>38217.53</v>
      </c>
      <c r="Y230" s="25">
        <f t="shared" si="229"/>
        <v>0</v>
      </c>
      <c r="Z230" s="25"/>
      <c r="AA230" s="25"/>
      <c r="AB230" s="25">
        <f t="shared" si="239"/>
        <v>19189.07</v>
      </c>
      <c r="AC230" s="25">
        <v>15289.33</v>
      </c>
      <c r="AD230" s="25">
        <v>3899.74</v>
      </c>
      <c r="AE230" s="25">
        <f t="shared" si="238"/>
        <v>959453.95</v>
      </c>
      <c r="AF230" s="25"/>
      <c r="AG230" s="25">
        <f t="shared" si="224"/>
        <v>959453.95</v>
      </c>
      <c r="AH230" s="28" t="s">
        <v>627</v>
      </c>
      <c r="AI230" s="72" t="s">
        <v>459</v>
      </c>
      <c r="AJ230" s="29">
        <f>95945.38+5019.44</f>
        <v>100964.82</v>
      </c>
      <c r="AK230" s="29">
        <v>7941.36</v>
      </c>
    </row>
    <row r="231" spans="1:37" ht="409.5" x14ac:dyDescent="0.25">
      <c r="A231" s="5">
        <v>225</v>
      </c>
      <c r="B231" s="67">
        <v>113035</v>
      </c>
      <c r="C231" s="118">
        <v>332</v>
      </c>
      <c r="D231" s="2" t="s">
        <v>171</v>
      </c>
      <c r="E231" s="13" t="s">
        <v>165</v>
      </c>
      <c r="F231" s="119" t="s">
        <v>357</v>
      </c>
      <c r="G231" s="21" t="s">
        <v>609</v>
      </c>
      <c r="H231" s="20" t="s">
        <v>610</v>
      </c>
      <c r="I231" s="13" t="s">
        <v>459</v>
      </c>
      <c r="J231" s="11" t="s">
        <v>611</v>
      </c>
      <c r="K231" s="104">
        <v>43258</v>
      </c>
      <c r="L231" s="8">
        <v>43745</v>
      </c>
      <c r="M231" s="4">
        <f t="shared" si="225"/>
        <v>82.304188758643321</v>
      </c>
      <c r="N231" s="2" t="s">
        <v>359</v>
      </c>
      <c r="O231" s="2" t="s">
        <v>347</v>
      </c>
      <c r="P231" s="2" t="s">
        <v>347</v>
      </c>
      <c r="Q231" s="23" t="s">
        <v>361</v>
      </c>
      <c r="R231" s="2" t="s">
        <v>36</v>
      </c>
      <c r="S231" s="25">
        <f t="shared" si="228"/>
        <v>813615.63</v>
      </c>
      <c r="T231" s="25">
        <v>656110.09</v>
      </c>
      <c r="U231" s="25">
        <v>157505.54</v>
      </c>
      <c r="V231" s="25">
        <f t="shared" si="226"/>
        <v>155160.46</v>
      </c>
      <c r="W231" s="25">
        <v>115784.14</v>
      </c>
      <c r="X231" s="25">
        <v>39376.32</v>
      </c>
      <c r="Y231" s="25">
        <f t="shared" si="229"/>
        <v>0</v>
      </c>
      <c r="Z231" s="25">
        <v>0</v>
      </c>
      <c r="AA231" s="25">
        <v>0</v>
      </c>
      <c r="AB231" s="25">
        <f t="shared" si="239"/>
        <v>19770.96</v>
      </c>
      <c r="AC231" s="25">
        <v>15752.94</v>
      </c>
      <c r="AD231" s="25">
        <v>4018.02</v>
      </c>
      <c r="AE231" s="25">
        <f t="shared" si="238"/>
        <v>988547.04999999993</v>
      </c>
      <c r="AF231" s="25">
        <v>0</v>
      </c>
      <c r="AG231" s="25">
        <f t="shared" si="224"/>
        <v>988547.04999999993</v>
      </c>
      <c r="AH231" s="28" t="s">
        <v>627</v>
      </c>
      <c r="AI231" s="72" t="s">
        <v>1270</v>
      </c>
      <c r="AJ231" s="29">
        <f>239002.19+7716.3+76236.18</f>
        <v>322954.67</v>
      </c>
      <c r="AK231" s="29">
        <f>26726.95+18388.45+12471.15</f>
        <v>57586.55</v>
      </c>
    </row>
    <row r="232" spans="1:37" ht="267.75" x14ac:dyDescent="0.25">
      <c r="A232" s="5">
        <v>226</v>
      </c>
      <c r="B232" s="67">
        <v>112992</v>
      </c>
      <c r="C232" s="144">
        <v>233</v>
      </c>
      <c r="D232" s="67" t="s">
        <v>171</v>
      </c>
      <c r="E232" s="13" t="s">
        <v>165</v>
      </c>
      <c r="F232" s="119" t="s">
        <v>357</v>
      </c>
      <c r="G232" s="56" t="s">
        <v>612</v>
      </c>
      <c r="H232" s="20" t="s">
        <v>613</v>
      </c>
      <c r="I232" s="13" t="s">
        <v>459</v>
      </c>
      <c r="J232" s="15" t="s">
        <v>614</v>
      </c>
      <c r="K232" s="104">
        <v>43259</v>
      </c>
      <c r="L232" s="8">
        <v>43746</v>
      </c>
      <c r="M232" s="4">
        <f t="shared" si="225"/>
        <v>82.304185804634827</v>
      </c>
      <c r="N232" s="2" t="s">
        <v>359</v>
      </c>
      <c r="O232" s="2" t="s">
        <v>347</v>
      </c>
      <c r="P232" s="2" t="s">
        <v>347</v>
      </c>
      <c r="Q232" s="23" t="s">
        <v>361</v>
      </c>
      <c r="R232" s="2" t="s">
        <v>36</v>
      </c>
      <c r="S232" s="25">
        <f t="shared" si="228"/>
        <v>413202.42000000004</v>
      </c>
      <c r="T232" s="25">
        <v>333211.76</v>
      </c>
      <c r="U232" s="25">
        <v>79990.66</v>
      </c>
      <c r="V232" s="25">
        <f t="shared" si="226"/>
        <v>78799.740000000005</v>
      </c>
      <c r="W232" s="25">
        <v>58802.080000000002</v>
      </c>
      <c r="X232" s="25">
        <v>19997.66</v>
      </c>
      <c r="Y232" s="25">
        <f t="shared" si="229"/>
        <v>0</v>
      </c>
      <c r="Z232" s="25"/>
      <c r="AA232" s="25"/>
      <c r="AB232" s="25">
        <f t="shared" si="239"/>
        <v>10040.86</v>
      </c>
      <c r="AC232" s="25">
        <v>8000.27</v>
      </c>
      <c r="AD232" s="25">
        <v>2040.59</v>
      </c>
      <c r="AE232" s="25">
        <f t="shared" si="238"/>
        <v>502043.02</v>
      </c>
      <c r="AF232" s="25">
        <v>96.29</v>
      </c>
      <c r="AG232" s="25">
        <f t="shared" si="224"/>
        <v>502139.31</v>
      </c>
      <c r="AH232" s="28" t="s">
        <v>627</v>
      </c>
      <c r="AI232" s="72" t="s">
        <v>459</v>
      </c>
      <c r="AJ232" s="29">
        <f>86645.8-7709.4</f>
        <v>78936.400000000009</v>
      </c>
      <c r="AK232" s="29">
        <f>6949.62+7709.4</f>
        <v>14659.02</v>
      </c>
    </row>
    <row r="233" spans="1:37" ht="252" x14ac:dyDescent="0.25">
      <c r="A233" s="2">
        <v>227</v>
      </c>
      <c r="B233" s="67">
        <v>109834</v>
      </c>
      <c r="C233" s="144">
        <v>202</v>
      </c>
      <c r="D233" s="67" t="s">
        <v>173</v>
      </c>
      <c r="E233" s="13" t="s">
        <v>165</v>
      </c>
      <c r="F233" s="119" t="s">
        <v>357</v>
      </c>
      <c r="G233" s="56" t="s">
        <v>619</v>
      </c>
      <c r="H233" s="20" t="s">
        <v>620</v>
      </c>
      <c r="I233" s="13" t="s">
        <v>459</v>
      </c>
      <c r="J233" s="15" t="s">
        <v>621</v>
      </c>
      <c r="K233" s="104">
        <v>43264</v>
      </c>
      <c r="L233" s="8">
        <v>43751</v>
      </c>
      <c r="M233" s="4">
        <f>S233/AE233*100</f>
        <v>82.304183457349851</v>
      </c>
      <c r="N233" s="2" t="s">
        <v>359</v>
      </c>
      <c r="O233" s="2" t="s">
        <v>347</v>
      </c>
      <c r="P233" s="2" t="s">
        <v>347</v>
      </c>
      <c r="Q233" s="23" t="s">
        <v>361</v>
      </c>
      <c r="R233" s="2" t="s">
        <v>36</v>
      </c>
      <c r="S233" s="25">
        <f>T233+U233</f>
        <v>757659.49</v>
      </c>
      <c r="T233" s="25">
        <v>610986.37</v>
      </c>
      <c r="U233" s="25">
        <v>146673.12</v>
      </c>
      <c r="V233" s="25">
        <f>W233+X233</f>
        <v>144489.42000000001</v>
      </c>
      <c r="W233" s="25">
        <v>107821.13</v>
      </c>
      <c r="X233" s="25">
        <v>36668.29</v>
      </c>
      <c r="Y233" s="25">
        <f>Z233+AA233</f>
        <v>0</v>
      </c>
      <c r="Z233" s="25"/>
      <c r="AA233" s="25"/>
      <c r="AB233" s="25">
        <f>AC233+AD233</f>
        <v>18411.21</v>
      </c>
      <c r="AC233" s="25">
        <v>14669.55</v>
      </c>
      <c r="AD233" s="25">
        <v>3741.66</v>
      </c>
      <c r="AE233" s="25">
        <f>S233+V233+Y233+AB233</f>
        <v>920560.12</v>
      </c>
      <c r="AF233" s="25">
        <v>0</v>
      </c>
      <c r="AG233" s="25">
        <f>AE233+AF233</f>
        <v>920560.12</v>
      </c>
      <c r="AH233" s="28" t="s">
        <v>627</v>
      </c>
      <c r="AI233" s="72" t="s">
        <v>459</v>
      </c>
      <c r="AJ233" s="29">
        <f>213672.38+10844.44+40106.9</f>
        <v>264623.72000000003</v>
      </c>
      <c r="AK233" s="29">
        <f>23567.39+2068.09+7666.13</f>
        <v>33301.61</v>
      </c>
    </row>
    <row r="234" spans="1:37" ht="267.75" x14ac:dyDescent="0.25">
      <c r="A234" s="5">
        <v>228</v>
      </c>
      <c r="B234" s="67">
        <v>111613</v>
      </c>
      <c r="C234" s="144">
        <v>289</v>
      </c>
      <c r="D234" s="67" t="s">
        <v>170</v>
      </c>
      <c r="E234" s="13" t="s">
        <v>165</v>
      </c>
      <c r="F234" s="119" t="s">
        <v>357</v>
      </c>
      <c r="G234" s="56" t="s">
        <v>622</v>
      </c>
      <c r="H234" s="20" t="s">
        <v>623</v>
      </c>
      <c r="I234" s="13" t="s">
        <v>624</v>
      </c>
      <c r="J234" s="15" t="s">
        <v>625</v>
      </c>
      <c r="K234" s="104">
        <v>43264</v>
      </c>
      <c r="L234" s="8">
        <v>43751</v>
      </c>
      <c r="M234" s="4">
        <f t="shared" ref="M234:M236" si="240">S234/AE234*100</f>
        <v>82.304185024184278</v>
      </c>
      <c r="N234" s="2" t="s">
        <v>359</v>
      </c>
      <c r="O234" s="2" t="s">
        <v>626</v>
      </c>
      <c r="P234" s="2" t="s">
        <v>626</v>
      </c>
      <c r="Q234" s="23" t="s">
        <v>361</v>
      </c>
      <c r="R234" s="2" t="s">
        <v>36</v>
      </c>
      <c r="S234" s="25">
        <f>T234+U234</f>
        <v>790560.66</v>
      </c>
      <c r="T234" s="25">
        <v>637518.30000000005</v>
      </c>
      <c r="U234" s="25">
        <v>153042.35999999999</v>
      </c>
      <c r="V234" s="25">
        <f>W234+X234</f>
        <v>150763.83000000002</v>
      </c>
      <c r="W234" s="25">
        <v>112503.22</v>
      </c>
      <c r="X234" s="25">
        <v>38260.61</v>
      </c>
      <c r="Y234" s="25">
        <v>0</v>
      </c>
      <c r="Z234" s="25"/>
      <c r="AA234" s="25"/>
      <c r="AB234" s="25">
        <f>AC234+AD234</f>
        <v>19210.7</v>
      </c>
      <c r="AC234" s="25">
        <v>15306.57</v>
      </c>
      <c r="AD234" s="25">
        <v>3904.13</v>
      </c>
      <c r="AE234" s="25">
        <f>S234+V234+Y234+AB234</f>
        <v>960535.19</v>
      </c>
      <c r="AF234" s="25">
        <v>67830</v>
      </c>
      <c r="AG234" s="25">
        <f>AE234+AF234</f>
        <v>1028365.19</v>
      </c>
      <c r="AH234" s="28" t="s">
        <v>627</v>
      </c>
      <c r="AI234" s="72" t="s">
        <v>459</v>
      </c>
      <c r="AJ234" s="29">
        <v>151237.06</v>
      </c>
      <c r="AK234" s="29">
        <v>10523.78</v>
      </c>
    </row>
    <row r="235" spans="1:37" ht="173.25" x14ac:dyDescent="0.25">
      <c r="A235" s="5">
        <v>229</v>
      </c>
      <c r="B235" s="67">
        <v>112219</v>
      </c>
      <c r="C235" s="144">
        <v>274</v>
      </c>
      <c r="D235" s="67" t="s">
        <v>174</v>
      </c>
      <c r="E235" s="13" t="s">
        <v>165</v>
      </c>
      <c r="F235" s="119" t="s">
        <v>357</v>
      </c>
      <c r="G235" s="54" t="s">
        <v>632</v>
      </c>
      <c r="H235" s="20" t="s">
        <v>633</v>
      </c>
      <c r="I235" s="13" t="s">
        <v>634</v>
      </c>
      <c r="J235" s="15" t="s">
        <v>637</v>
      </c>
      <c r="K235" s="104">
        <v>43262</v>
      </c>
      <c r="L235" s="8">
        <v>43749</v>
      </c>
      <c r="M235" s="4">
        <f t="shared" si="240"/>
        <v>82.30418549066529</v>
      </c>
      <c r="N235" s="2" t="s">
        <v>359</v>
      </c>
      <c r="O235" s="2" t="s">
        <v>635</v>
      </c>
      <c r="P235" s="2" t="s">
        <v>636</v>
      </c>
      <c r="Q235" s="23" t="s">
        <v>361</v>
      </c>
      <c r="R235" s="2" t="s">
        <v>36</v>
      </c>
      <c r="S235" s="25">
        <f t="shared" ref="S235:S303" si="241">T235+U235</f>
        <v>796961.1399999999</v>
      </c>
      <c r="T235" s="25">
        <v>642679.71</v>
      </c>
      <c r="U235" s="25">
        <v>154281.43</v>
      </c>
      <c r="V235" s="25">
        <f t="shared" ref="V235:V303" si="242">W235+X235</f>
        <v>151984.41</v>
      </c>
      <c r="W235" s="25">
        <v>113414.08</v>
      </c>
      <c r="X235" s="25">
        <v>38570.33</v>
      </c>
      <c r="Y235" s="25">
        <f t="shared" ref="Y235" si="243">Z235+AA235</f>
        <v>0</v>
      </c>
      <c r="Z235" s="25"/>
      <c r="AA235" s="25"/>
      <c r="AB235" s="25">
        <f t="shared" ref="AB235:AB236" si="244">AC235+AD235</f>
        <v>19366.25</v>
      </c>
      <c r="AC235" s="25">
        <v>15430.49</v>
      </c>
      <c r="AD235" s="25">
        <v>3935.76</v>
      </c>
      <c r="AE235" s="25">
        <f t="shared" ref="AE235:AE303" si="245">S235+V235+Y235+AB235</f>
        <v>968311.79999999993</v>
      </c>
      <c r="AF235" s="25"/>
      <c r="AG235" s="25">
        <f t="shared" ref="AG235:AG303" si="246">AE235+AF235</f>
        <v>968311.79999999993</v>
      </c>
      <c r="AH235" s="28" t="s">
        <v>627</v>
      </c>
      <c r="AI235" s="72" t="s">
        <v>459</v>
      </c>
      <c r="AJ235" s="29">
        <f>191558.95+82810.85</f>
        <v>274369.80000000005</v>
      </c>
      <c r="AK235" s="29">
        <f>18065.03+15792.44</f>
        <v>33857.47</v>
      </c>
    </row>
    <row r="236" spans="1:37" ht="141.75" x14ac:dyDescent="0.25">
      <c r="A236" s="2">
        <v>230</v>
      </c>
      <c r="B236" s="67">
        <v>111981</v>
      </c>
      <c r="C236" s="144">
        <v>264</v>
      </c>
      <c r="D236" s="67" t="s">
        <v>174</v>
      </c>
      <c r="E236" s="13" t="s">
        <v>165</v>
      </c>
      <c r="F236" s="119" t="s">
        <v>357</v>
      </c>
      <c r="G236" s="54" t="s">
        <v>638</v>
      </c>
      <c r="H236" s="20" t="s">
        <v>639</v>
      </c>
      <c r="I236" s="13" t="s">
        <v>640</v>
      </c>
      <c r="J236" s="15" t="s">
        <v>642</v>
      </c>
      <c r="K236" s="104">
        <v>43264</v>
      </c>
      <c r="L236" s="8">
        <v>43751</v>
      </c>
      <c r="M236" s="4">
        <f t="shared" si="240"/>
        <v>82.304187524210803</v>
      </c>
      <c r="N236" s="2" t="s">
        <v>359</v>
      </c>
      <c r="O236" s="2" t="s">
        <v>641</v>
      </c>
      <c r="P236" s="2" t="s">
        <v>458</v>
      </c>
      <c r="Q236" s="23" t="s">
        <v>361</v>
      </c>
      <c r="R236" s="2" t="s">
        <v>36</v>
      </c>
      <c r="S236" s="25">
        <f t="shared" si="241"/>
        <v>771066.18</v>
      </c>
      <c r="T236" s="25">
        <v>621797.65</v>
      </c>
      <c r="U236" s="25">
        <v>149268.53</v>
      </c>
      <c r="V236" s="25">
        <f t="shared" si="242"/>
        <v>147046.1</v>
      </c>
      <c r="W236" s="25">
        <v>109729</v>
      </c>
      <c r="X236" s="25">
        <v>37317.1</v>
      </c>
      <c r="Y236" s="25">
        <f t="shared" ref="Y236:Y303" si="247">Z236+AA236</f>
        <v>0</v>
      </c>
      <c r="Z236" s="25"/>
      <c r="AA236" s="25"/>
      <c r="AB236" s="25">
        <f t="shared" si="244"/>
        <v>18736.989999999998</v>
      </c>
      <c r="AC236" s="25">
        <v>14929.14</v>
      </c>
      <c r="AD236" s="25">
        <v>3807.85</v>
      </c>
      <c r="AE236" s="25">
        <f t="shared" si="245"/>
        <v>936849.27</v>
      </c>
      <c r="AF236" s="25"/>
      <c r="AG236" s="25">
        <f t="shared" si="246"/>
        <v>936849.27</v>
      </c>
      <c r="AH236" s="28" t="s">
        <v>627</v>
      </c>
      <c r="AI236" s="72" t="s">
        <v>459</v>
      </c>
      <c r="AJ236" s="29">
        <f>90931+53329.56+57210.46</f>
        <v>201471.02</v>
      </c>
      <c r="AK236" s="29">
        <f>10170.21+10910.32</f>
        <v>21080.53</v>
      </c>
    </row>
    <row r="237" spans="1:37" ht="299.25" x14ac:dyDescent="0.25">
      <c r="A237" s="5">
        <v>231</v>
      </c>
      <c r="B237" s="67">
        <v>113037</v>
      </c>
      <c r="C237" s="144">
        <v>280</v>
      </c>
      <c r="D237" s="67" t="s">
        <v>174</v>
      </c>
      <c r="E237" s="13" t="s">
        <v>165</v>
      </c>
      <c r="F237" s="119" t="s">
        <v>357</v>
      </c>
      <c r="G237" s="54" t="s">
        <v>657</v>
      </c>
      <c r="H237" s="20" t="s">
        <v>655</v>
      </c>
      <c r="I237" s="13" t="s">
        <v>656</v>
      </c>
      <c r="J237" s="15" t="s">
        <v>658</v>
      </c>
      <c r="K237" s="104">
        <v>43269</v>
      </c>
      <c r="L237" s="8">
        <v>43756</v>
      </c>
      <c r="M237" s="4">
        <f t="shared" ref="M237:M303" si="248">S237/AE237*100</f>
        <v>82.304185659324261</v>
      </c>
      <c r="N237" s="2" t="s">
        <v>359</v>
      </c>
      <c r="O237" s="2" t="s">
        <v>156</v>
      </c>
      <c r="P237" s="2" t="s">
        <v>156</v>
      </c>
      <c r="Q237" s="23" t="s">
        <v>361</v>
      </c>
      <c r="R237" s="2" t="s">
        <v>36</v>
      </c>
      <c r="S237" s="25">
        <f t="shared" si="241"/>
        <v>812766.5</v>
      </c>
      <c r="T237" s="25">
        <v>655425.36</v>
      </c>
      <c r="U237" s="25">
        <v>157341.14000000001</v>
      </c>
      <c r="V237" s="25">
        <f t="shared" si="242"/>
        <v>154998.59</v>
      </c>
      <c r="W237" s="25">
        <v>115663.31</v>
      </c>
      <c r="X237" s="25">
        <v>39335.279999999999</v>
      </c>
      <c r="Y237" s="25">
        <f t="shared" si="247"/>
        <v>0</v>
      </c>
      <c r="Z237" s="25"/>
      <c r="AA237" s="25"/>
      <c r="AB237" s="25">
        <f t="shared" ref="AB237:AB303" si="249">AC237+AD237</f>
        <v>19750.3</v>
      </c>
      <c r="AC237" s="25">
        <v>15736.51</v>
      </c>
      <c r="AD237" s="25">
        <v>4013.79</v>
      </c>
      <c r="AE237" s="25">
        <f t="shared" si="245"/>
        <v>987515.39</v>
      </c>
      <c r="AF237" s="25"/>
      <c r="AG237" s="25">
        <f t="shared" si="246"/>
        <v>987515.39</v>
      </c>
      <c r="AH237" s="28" t="s">
        <v>627</v>
      </c>
      <c r="AI237" s="72" t="s">
        <v>459</v>
      </c>
      <c r="AJ237" s="29">
        <f>98751.53+76285.17</f>
        <v>175036.7</v>
      </c>
      <c r="AK237" s="29">
        <v>14547.96</v>
      </c>
    </row>
    <row r="238" spans="1:37" ht="141.75" x14ac:dyDescent="0.25">
      <c r="A238" s="5">
        <v>232</v>
      </c>
      <c r="B238" s="67">
        <v>111983</v>
      </c>
      <c r="C238" s="144">
        <v>238</v>
      </c>
      <c r="D238" s="67" t="s">
        <v>171</v>
      </c>
      <c r="E238" s="13" t="s">
        <v>165</v>
      </c>
      <c r="F238" s="119" t="s">
        <v>357</v>
      </c>
      <c r="G238" s="54" t="s">
        <v>659</v>
      </c>
      <c r="H238" s="20" t="s">
        <v>660</v>
      </c>
      <c r="I238" s="13" t="s">
        <v>459</v>
      </c>
      <c r="J238" s="15" t="s">
        <v>661</v>
      </c>
      <c r="K238" s="104">
        <v>43270</v>
      </c>
      <c r="L238" s="8">
        <v>43757</v>
      </c>
      <c r="M238" s="4">
        <f t="shared" si="248"/>
        <v>82.304184684756876</v>
      </c>
      <c r="N238" s="2" t="s">
        <v>359</v>
      </c>
      <c r="O238" s="2" t="s">
        <v>156</v>
      </c>
      <c r="P238" s="2" t="s">
        <v>156</v>
      </c>
      <c r="Q238" s="23" t="s">
        <v>361</v>
      </c>
      <c r="R238" s="2" t="s">
        <v>36</v>
      </c>
      <c r="S238" s="25">
        <f t="shared" si="241"/>
        <v>768299.49</v>
      </c>
      <c r="T238" s="25">
        <v>619566.6</v>
      </c>
      <c r="U238" s="25">
        <v>148732.89000000001</v>
      </c>
      <c r="V238" s="25">
        <f t="shared" si="242"/>
        <v>146518.51</v>
      </c>
      <c r="W238" s="25">
        <v>109335.29</v>
      </c>
      <c r="X238" s="25">
        <v>37183.22</v>
      </c>
      <c r="Y238" s="25">
        <f t="shared" si="247"/>
        <v>0</v>
      </c>
      <c r="Z238" s="25"/>
      <c r="AA238" s="25"/>
      <c r="AB238" s="25">
        <f t="shared" si="249"/>
        <v>18669.759999999998</v>
      </c>
      <c r="AC238" s="25">
        <v>14875.55</v>
      </c>
      <c r="AD238" s="25">
        <v>3794.21</v>
      </c>
      <c r="AE238" s="25">
        <f t="shared" si="245"/>
        <v>933487.76</v>
      </c>
      <c r="AF238" s="25">
        <v>0</v>
      </c>
      <c r="AG238" s="25">
        <f t="shared" si="246"/>
        <v>933487.76</v>
      </c>
      <c r="AH238" s="28" t="s">
        <v>627</v>
      </c>
      <c r="AI238" s="72" t="s">
        <v>459</v>
      </c>
      <c r="AJ238" s="29">
        <f>81982.44+68790.33-12682.51</f>
        <v>138090.26</v>
      </c>
      <c r="AK238" s="29">
        <f>11017.56+15316.94</f>
        <v>26334.5</v>
      </c>
    </row>
    <row r="239" spans="1:37" ht="236.25" x14ac:dyDescent="0.25">
      <c r="A239" s="2">
        <v>233</v>
      </c>
      <c r="B239" s="233">
        <v>115759</v>
      </c>
      <c r="C239" s="234">
        <v>400</v>
      </c>
      <c r="D239" s="233" t="s">
        <v>163</v>
      </c>
      <c r="E239" s="235" t="s">
        <v>165</v>
      </c>
      <c r="F239" s="236" t="s">
        <v>484</v>
      </c>
      <c r="G239" s="61" t="s">
        <v>662</v>
      </c>
      <c r="H239" s="60" t="s">
        <v>663</v>
      </c>
      <c r="I239" s="235" t="s">
        <v>664</v>
      </c>
      <c r="J239" s="59" t="s">
        <v>665</v>
      </c>
      <c r="K239" s="237">
        <v>43270</v>
      </c>
      <c r="L239" s="8">
        <v>44062</v>
      </c>
      <c r="M239" s="58">
        <f t="shared" si="248"/>
        <v>83.983862848432537</v>
      </c>
      <c r="N239" s="57" t="s">
        <v>359</v>
      </c>
      <c r="O239" s="57" t="s">
        <v>156</v>
      </c>
      <c r="P239" s="57" t="s">
        <v>156</v>
      </c>
      <c r="Q239" s="238" t="s">
        <v>157</v>
      </c>
      <c r="R239" s="57" t="s">
        <v>36</v>
      </c>
      <c r="S239" s="25">
        <f t="shared" si="241"/>
        <v>11840890.029999999</v>
      </c>
      <c r="T239" s="25">
        <v>9548646.1699999999</v>
      </c>
      <c r="U239" s="25">
        <v>2292243.86</v>
      </c>
      <c r="V239" s="25">
        <f t="shared" si="242"/>
        <v>0</v>
      </c>
      <c r="W239" s="25"/>
      <c r="X239" s="25"/>
      <c r="Y239" s="25">
        <f t="shared" si="247"/>
        <v>2258116.17</v>
      </c>
      <c r="Z239" s="25">
        <v>1685055.21</v>
      </c>
      <c r="AA239" s="25">
        <v>573060.96</v>
      </c>
      <c r="AB239" s="25">
        <f t="shared" si="249"/>
        <v>0</v>
      </c>
      <c r="AC239" s="25"/>
      <c r="AD239" s="25"/>
      <c r="AE239" s="25">
        <f t="shared" si="245"/>
        <v>14099006.199999999</v>
      </c>
      <c r="AF239" s="25"/>
      <c r="AG239" s="25">
        <f t="shared" si="246"/>
        <v>14099006.199999999</v>
      </c>
      <c r="AH239" s="28" t="s">
        <v>627</v>
      </c>
      <c r="AI239" s="72" t="s">
        <v>187</v>
      </c>
      <c r="AJ239" s="29">
        <v>821485.68</v>
      </c>
      <c r="AK239" s="29">
        <v>0</v>
      </c>
    </row>
    <row r="240" spans="1:37" ht="141.75" x14ac:dyDescent="0.25">
      <c r="A240" s="5">
        <v>234</v>
      </c>
      <c r="B240" s="67">
        <v>111409</v>
      </c>
      <c r="C240" s="144">
        <v>193</v>
      </c>
      <c r="D240" s="67" t="s">
        <v>172</v>
      </c>
      <c r="E240" s="13" t="s">
        <v>165</v>
      </c>
      <c r="F240" s="119" t="s">
        <v>357</v>
      </c>
      <c r="G240" s="63" t="s">
        <v>671</v>
      </c>
      <c r="H240" s="64" t="s">
        <v>670</v>
      </c>
      <c r="I240" s="13" t="s">
        <v>459</v>
      </c>
      <c r="J240" s="15" t="s">
        <v>672</v>
      </c>
      <c r="K240" s="104">
        <v>43271</v>
      </c>
      <c r="L240" s="8">
        <v>43758</v>
      </c>
      <c r="M240" s="4">
        <f t="shared" si="248"/>
        <v>82.304192821223239</v>
      </c>
      <c r="N240" s="2" t="s">
        <v>359</v>
      </c>
      <c r="O240" s="174" t="s">
        <v>156</v>
      </c>
      <c r="P240" s="174" t="s">
        <v>156</v>
      </c>
      <c r="Q240" s="23" t="s">
        <v>361</v>
      </c>
      <c r="R240" s="2" t="s">
        <v>36</v>
      </c>
      <c r="S240" s="62">
        <f>T240+U240</f>
        <v>813056.8</v>
      </c>
      <c r="T240" s="25">
        <v>655659.42000000004</v>
      </c>
      <c r="U240" s="25">
        <v>157397.38</v>
      </c>
      <c r="V240" s="25">
        <f t="shared" si="242"/>
        <v>155053.87</v>
      </c>
      <c r="W240" s="25">
        <v>115704.6</v>
      </c>
      <c r="X240" s="25">
        <v>39349.269999999997</v>
      </c>
      <c r="Y240" s="25">
        <f t="shared" si="247"/>
        <v>0</v>
      </c>
      <c r="Z240" s="25"/>
      <c r="AA240" s="25"/>
      <c r="AB240" s="25">
        <f t="shared" si="249"/>
        <v>19757.350000000002</v>
      </c>
      <c r="AC240" s="25">
        <v>15742.12</v>
      </c>
      <c r="AD240" s="25">
        <v>4015.23</v>
      </c>
      <c r="AE240" s="25">
        <f>S240+V240+Y240+AB240</f>
        <v>987868.02</v>
      </c>
      <c r="AF240" s="25">
        <v>0</v>
      </c>
      <c r="AG240" s="25">
        <f t="shared" si="246"/>
        <v>987868.02</v>
      </c>
      <c r="AH240" s="28" t="s">
        <v>627</v>
      </c>
      <c r="AI240" s="72" t="s">
        <v>187</v>
      </c>
      <c r="AJ240" s="29">
        <f>104036.05+83299.38+40723.7</f>
        <v>228059.13</v>
      </c>
      <c r="AK240" s="29">
        <f>16886.65+26605.33</f>
        <v>43491.98</v>
      </c>
    </row>
    <row r="241" spans="1:37" ht="141.75" x14ac:dyDescent="0.25">
      <c r="A241" s="5">
        <v>235</v>
      </c>
      <c r="B241" s="67">
        <v>118676</v>
      </c>
      <c r="C241" s="144">
        <v>432</v>
      </c>
      <c r="D241" s="67" t="s">
        <v>172</v>
      </c>
      <c r="E241" s="13" t="s">
        <v>1136</v>
      </c>
      <c r="F241" s="119" t="s">
        <v>673</v>
      </c>
      <c r="G241" s="56" t="s">
        <v>674</v>
      </c>
      <c r="H241" s="20" t="s">
        <v>675</v>
      </c>
      <c r="I241" s="13" t="s">
        <v>676</v>
      </c>
      <c r="J241" s="15" t="s">
        <v>677</v>
      </c>
      <c r="K241" s="104">
        <v>43270</v>
      </c>
      <c r="L241" s="8">
        <v>43818</v>
      </c>
      <c r="M241" s="4">
        <f t="shared" si="248"/>
        <v>83.983861980210861</v>
      </c>
      <c r="N241" s="2" t="s">
        <v>359</v>
      </c>
      <c r="O241" s="174" t="s">
        <v>156</v>
      </c>
      <c r="P241" s="174" t="s">
        <v>156</v>
      </c>
      <c r="Q241" s="23" t="s">
        <v>157</v>
      </c>
      <c r="R241" s="2" t="s">
        <v>36</v>
      </c>
      <c r="S241" s="25">
        <f t="shared" si="241"/>
        <v>3030823.88</v>
      </c>
      <c r="T241" s="25">
        <v>2444095.39</v>
      </c>
      <c r="U241" s="25">
        <v>586728.49</v>
      </c>
      <c r="V241" s="25">
        <f t="shared" si="242"/>
        <v>0</v>
      </c>
      <c r="W241" s="25"/>
      <c r="X241" s="25"/>
      <c r="Y241" s="25">
        <f t="shared" si="247"/>
        <v>577993.11</v>
      </c>
      <c r="Z241" s="25">
        <v>431310.99</v>
      </c>
      <c r="AA241" s="25">
        <v>146682.12</v>
      </c>
      <c r="AB241" s="25">
        <f t="shared" si="249"/>
        <v>0</v>
      </c>
      <c r="AC241" s="25"/>
      <c r="AD241" s="25"/>
      <c r="AE241" s="25">
        <f t="shared" si="245"/>
        <v>3608816.9899999998</v>
      </c>
      <c r="AF241" s="25">
        <v>0</v>
      </c>
      <c r="AG241" s="25">
        <f t="shared" si="246"/>
        <v>3608816.9899999998</v>
      </c>
      <c r="AH241" s="28" t="s">
        <v>627</v>
      </c>
      <c r="AI241" s="72" t="s">
        <v>187</v>
      </c>
      <c r="AJ241" s="29">
        <f>43102.2+366371.99</f>
        <v>409474.19</v>
      </c>
      <c r="AK241" s="29">
        <v>0</v>
      </c>
    </row>
    <row r="242" spans="1:37" ht="299.25" x14ac:dyDescent="0.25">
      <c r="A242" s="2">
        <v>236</v>
      </c>
      <c r="B242" s="67">
        <v>111610</v>
      </c>
      <c r="C242" s="144">
        <v>374</v>
      </c>
      <c r="D242" s="67" t="s">
        <v>163</v>
      </c>
      <c r="E242" s="13" t="s">
        <v>1137</v>
      </c>
      <c r="F242" s="119" t="s">
        <v>678</v>
      </c>
      <c r="G242" s="56" t="s">
        <v>680</v>
      </c>
      <c r="H242" s="20" t="s">
        <v>679</v>
      </c>
      <c r="I242" s="13" t="s">
        <v>681</v>
      </c>
      <c r="J242" s="15" t="s">
        <v>685</v>
      </c>
      <c r="K242" s="104">
        <v>43272</v>
      </c>
      <c r="L242" s="8">
        <v>43637</v>
      </c>
      <c r="M242" s="4">
        <f t="shared" si="248"/>
        <v>82.30418774976819</v>
      </c>
      <c r="N242" s="2" t="s">
        <v>359</v>
      </c>
      <c r="O242" s="174" t="s">
        <v>156</v>
      </c>
      <c r="P242" s="174" t="s">
        <v>156</v>
      </c>
      <c r="Q242" s="23" t="s">
        <v>361</v>
      </c>
      <c r="R242" s="2" t="s">
        <v>36</v>
      </c>
      <c r="S242" s="25">
        <f t="shared" si="241"/>
        <v>3413208.46</v>
      </c>
      <c r="T242" s="25">
        <v>2752455.25</v>
      </c>
      <c r="U242" s="25">
        <v>660753.21</v>
      </c>
      <c r="V242" s="25">
        <f t="shared" si="242"/>
        <v>650915.6</v>
      </c>
      <c r="W242" s="25">
        <v>485727.33</v>
      </c>
      <c r="X242" s="25">
        <v>165188.26999999999</v>
      </c>
      <c r="Y242" s="25">
        <f t="shared" si="247"/>
        <v>0</v>
      </c>
      <c r="Z242" s="25">
        <v>0</v>
      </c>
      <c r="AA242" s="25">
        <v>0</v>
      </c>
      <c r="AB242" s="25">
        <f t="shared" si="249"/>
        <v>82941.300000000017</v>
      </c>
      <c r="AC242" s="25">
        <v>66085.326136337957</v>
      </c>
      <c r="AD242" s="25">
        <v>16855.97386366206</v>
      </c>
      <c r="AE242" s="25">
        <f>S242+V242+Y242+AB242</f>
        <v>4147065.36</v>
      </c>
      <c r="AF242" s="25">
        <v>0</v>
      </c>
      <c r="AG242" s="25">
        <f t="shared" si="246"/>
        <v>4147065.36</v>
      </c>
      <c r="AH242" s="28" t="s">
        <v>627</v>
      </c>
      <c r="AI242" s="72" t="s">
        <v>1187</v>
      </c>
      <c r="AJ242" s="29">
        <f>413506.52+39634.08+203862.73</f>
        <v>657003.33000000007</v>
      </c>
      <c r="AK242" s="29">
        <f>51329.52+25659.99</f>
        <v>76989.509999999995</v>
      </c>
    </row>
    <row r="243" spans="1:37" ht="141.75" x14ac:dyDescent="0.25">
      <c r="A243" s="5">
        <v>237</v>
      </c>
      <c r="B243" s="67">
        <v>110423</v>
      </c>
      <c r="C243" s="144">
        <v>207</v>
      </c>
      <c r="D243" s="67" t="s">
        <v>173</v>
      </c>
      <c r="E243" s="13" t="s">
        <v>165</v>
      </c>
      <c r="F243" s="119" t="s">
        <v>357</v>
      </c>
      <c r="G243" s="56" t="s">
        <v>682</v>
      </c>
      <c r="H243" s="239" t="s">
        <v>683</v>
      </c>
      <c r="I243" s="13" t="s">
        <v>459</v>
      </c>
      <c r="J243" s="15" t="s">
        <v>684</v>
      </c>
      <c r="K243" s="104">
        <v>43272</v>
      </c>
      <c r="L243" s="8">
        <v>43759</v>
      </c>
      <c r="M243" s="4">
        <f t="shared" si="248"/>
        <v>82.304184780767926</v>
      </c>
      <c r="N243" s="2" t="s">
        <v>359</v>
      </c>
      <c r="O243" s="2" t="s">
        <v>347</v>
      </c>
      <c r="P243" s="2" t="s">
        <v>347</v>
      </c>
      <c r="Q243" s="23" t="s">
        <v>361</v>
      </c>
      <c r="R243" s="2" t="s">
        <v>36</v>
      </c>
      <c r="S243" s="25">
        <f t="shared" si="241"/>
        <v>823039.14</v>
      </c>
      <c r="T243" s="25">
        <v>663709.36</v>
      </c>
      <c r="U243" s="25">
        <v>159329.78</v>
      </c>
      <c r="V243" s="25">
        <f>W243+X243</f>
        <v>156957.63</v>
      </c>
      <c r="W243" s="25">
        <v>117125.18</v>
      </c>
      <c r="X243" s="25">
        <v>39832.449999999997</v>
      </c>
      <c r="Y243" s="25">
        <f>Z243+AA243</f>
        <v>0</v>
      </c>
      <c r="Z243" s="25"/>
      <c r="AA243" s="25"/>
      <c r="AB243" s="25">
        <f t="shared" si="249"/>
        <v>19999.939999999999</v>
      </c>
      <c r="AC243" s="25">
        <v>15935.4</v>
      </c>
      <c r="AD243" s="25">
        <v>4064.54</v>
      </c>
      <c r="AE243" s="25">
        <f t="shared" si="245"/>
        <v>999996.71</v>
      </c>
      <c r="AF243" s="25">
        <v>0</v>
      </c>
      <c r="AG243" s="25">
        <f t="shared" si="246"/>
        <v>999996.71</v>
      </c>
      <c r="AH243" s="28" t="s">
        <v>627</v>
      </c>
      <c r="AI243" s="72" t="s">
        <v>187</v>
      </c>
      <c r="AJ243" s="29">
        <f>55440+153663.31</f>
        <v>209103.31</v>
      </c>
      <c r="AK243" s="29">
        <v>20806.72</v>
      </c>
    </row>
    <row r="244" spans="1:37" ht="141.75" x14ac:dyDescent="0.25">
      <c r="A244" s="5">
        <v>238</v>
      </c>
      <c r="B244" s="67">
        <v>111199</v>
      </c>
      <c r="C244" s="144">
        <v>147</v>
      </c>
      <c r="D244" s="67" t="s">
        <v>689</v>
      </c>
      <c r="E244" s="13" t="s">
        <v>165</v>
      </c>
      <c r="F244" s="119" t="s">
        <v>357</v>
      </c>
      <c r="G244" s="56" t="s">
        <v>729</v>
      </c>
      <c r="H244" s="20" t="s">
        <v>730</v>
      </c>
      <c r="I244" s="13" t="s">
        <v>731</v>
      </c>
      <c r="J244" s="15" t="s">
        <v>732</v>
      </c>
      <c r="K244" s="104">
        <v>43277</v>
      </c>
      <c r="L244" s="8">
        <v>44190</v>
      </c>
      <c r="M244" s="4">
        <f t="shared" si="248"/>
        <v>82.524995224288418</v>
      </c>
      <c r="N244" s="2" t="s">
        <v>359</v>
      </c>
      <c r="O244" s="2" t="s">
        <v>347</v>
      </c>
      <c r="P244" s="2" t="s">
        <v>347</v>
      </c>
      <c r="Q244" s="23" t="s">
        <v>361</v>
      </c>
      <c r="R244" s="2" t="s">
        <v>36</v>
      </c>
      <c r="S244" s="25">
        <f>T244+U244</f>
        <v>825126.99</v>
      </c>
      <c r="T244" s="25">
        <v>665393.03</v>
      </c>
      <c r="U244" s="25">
        <v>159733.96</v>
      </c>
      <c r="V244" s="25">
        <f t="shared" si="242"/>
        <v>154726.99</v>
      </c>
      <c r="W244" s="25">
        <v>115327.75</v>
      </c>
      <c r="X244" s="25">
        <v>39399.24</v>
      </c>
      <c r="Y244" s="25">
        <f>Z244+AA244</f>
        <v>0</v>
      </c>
      <c r="Z244" s="25">
        <v>0</v>
      </c>
      <c r="AA244" s="25">
        <v>0</v>
      </c>
      <c r="AB244" s="25">
        <f>AC244+AD244</f>
        <v>19997.02</v>
      </c>
      <c r="AC244" s="25">
        <v>15933.08</v>
      </c>
      <c r="AD244" s="25">
        <v>4063.94</v>
      </c>
      <c r="AE244" s="25">
        <f t="shared" si="245"/>
        <v>999851</v>
      </c>
      <c r="AF244" s="25">
        <v>0</v>
      </c>
      <c r="AG244" s="25">
        <f t="shared" si="246"/>
        <v>999851</v>
      </c>
      <c r="AH244" s="28" t="s">
        <v>627</v>
      </c>
      <c r="AI244" s="72" t="s">
        <v>187</v>
      </c>
      <c r="AJ244" s="29">
        <f>99985.1+89695.95+1370.47</f>
        <v>191051.51999999999</v>
      </c>
      <c r="AK244" s="29">
        <f>17105.45+14284.79</f>
        <v>31390.240000000002</v>
      </c>
    </row>
    <row r="245" spans="1:37" ht="189" x14ac:dyDescent="0.25">
      <c r="A245" s="2">
        <v>239</v>
      </c>
      <c r="B245" s="67">
        <v>109686</v>
      </c>
      <c r="C245" s="144">
        <v>122</v>
      </c>
      <c r="D245" s="67" t="s">
        <v>174</v>
      </c>
      <c r="E245" s="7" t="s">
        <v>1018</v>
      </c>
      <c r="F245" s="119" t="s">
        <v>366</v>
      </c>
      <c r="G245" s="6" t="s">
        <v>695</v>
      </c>
      <c r="H245" s="20" t="s">
        <v>696</v>
      </c>
      <c r="I245" s="13" t="s">
        <v>459</v>
      </c>
      <c r="J245" s="15" t="s">
        <v>697</v>
      </c>
      <c r="K245" s="104">
        <v>43276</v>
      </c>
      <c r="L245" s="8">
        <v>43763</v>
      </c>
      <c r="M245" s="4">
        <f t="shared" si="248"/>
        <v>85.000000118226325</v>
      </c>
      <c r="N245" s="2">
        <v>2</v>
      </c>
      <c r="O245" s="2" t="s">
        <v>698</v>
      </c>
      <c r="P245" s="2" t="s">
        <v>698</v>
      </c>
      <c r="Q245" s="23" t="s">
        <v>216</v>
      </c>
      <c r="R245" s="2" t="s">
        <v>36</v>
      </c>
      <c r="S245" s="25">
        <f t="shared" si="241"/>
        <v>359480.02</v>
      </c>
      <c r="T245" s="25">
        <v>359480.02</v>
      </c>
      <c r="U245" s="25">
        <v>0</v>
      </c>
      <c r="V245" s="25">
        <f t="shared" si="242"/>
        <v>54979.3</v>
      </c>
      <c r="W245" s="25">
        <v>54979.3</v>
      </c>
      <c r="X245" s="25">
        <v>0</v>
      </c>
      <c r="Y245" s="25">
        <f t="shared" si="247"/>
        <v>8458.35</v>
      </c>
      <c r="Z245" s="25">
        <v>8458.35</v>
      </c>
      <c r="AA245" s="25">
        <v>0</v>
      </c>
      <c r="AB245" s="25">
        <f t="shared" si="249"/>
        <v>0</v>
      </c>
      <c r="AC245" s="25"/>
      <c r="AD245" s="25"/>
      <c r="AE245" s="25">
        <f t="shared" si="245"/>
        <v>422917.67</v>
      </c>
      <c r="AF245" s="25">
        <v>0</v>
      </c>
      <c r="AG245" s="25">
        <f t="shared" si="246"/>
        <v>422917.67</v>
      </c>
      <c r="AH245" s="28" t="s">
        <v>627</v>
      </c>
      <c r="AI245" s="72" t="s">
        <v>187</v>
      </c>
      <c r="AJ245" s="39">
        <f>31070.04+37860.62</f>
        <v>68930.66</v>
      </c>
      <c r="AK245" s="29">
        <f>4751.89+5790.44</f>
        <v>10542.33</v>
      </c>
    </row>
    <row r="246" spans="1:37" ht="409.5" x14ac:dyDescent="0.25">
      <c r="A246" s="5">
        <v>240</v>
      </c>
      <c r="B246" s="67">
        <v>111846</v>
      </c>
      <c r="C246" s="144">
        <v>165</v>
      </c>
      <c r="D246" s="67" t="s">
        <v>176</v>
      </c>
      <c r="E246" s="13" t="s">
        <v>165</v>
      </c>
      <c r="F246" s="119" t="s">
        <v>357</v>
      </c>
      <c r="G246" s="6" t="s">
        <v>704</v>
      </c>
      <c r="H246" s="20" t="s">
        <v>705</v>
      </c>
      <c r="I246" s="13" t="s">
        <v>459</v>
      </c>
      <c r="J246" s="15" t="s">
        <v>706</v>
      </c>
      <c r="K246" s="104">
        <v>43278</v>
      </c>
      <c r="L246" s="8">
        <v>43643</v>
      </c>
      <c r="M246" s="4">
        <f t="shared" si="248"/>
        <v>82.304186166768261</v>
      </c>
      <c r="N246" s="2" t="s">
        <v>359</v>
      </c>
      <c r="O246" s="2" t="s">
        <v>347</v>
      </c>
      <c r="P246" s="2" t="s">
        <v>347</v>
      </c>
      <c r="Q246" s="23" t="s">
        <v>361</v>
      </c>
      <c r="R246" s="2" t="s">
        <v>36</v>
      </c>
      <c r="S246" s="25">
        <f t="shared" si="241"/>
        <v>693954.33</v>
      </c>
      <c r="T246" s="25">
        <v>559613.69999999995</v>
      </c>
      <c r="U246" s="25">
        <v>134340.63</v>
      </c>
      <c r="V246" s="25">
        <f t="shared" si="242"/>
        <v>132340.51</v>
      </c>
      <c r="W246" s="25">
        <v>98755.36</v>
      </c>
      <c r="X246" s="25">
        <v>33585.15</v>
      </c>
      <c r="Y246" s="25">
        <f>Z246+AA246</f>
        <v>0</v>
      </c>
      <c r="Z246" s="25">
        <v>0</v>
      </c>
      <c r="AA246" s="25">
        <v>0</v>
      </c>
      <c r="AB246" s="25">
        <f>AC246+AD246</f>
        <v>16863.16</v>
      </c>
      <c r="AC246" s="25">
        <v>13436.1</v>
      </c>
      <c r="AD246" s="25">
        <v>3427.06</v>
      </c>
      <c r="AE246" s="25">
        <f t="shared" si="245"/>
        <v>843158</v>
      </c>
      <c r="AF246" s="25">
        <v>0</v>
      </c>
      <c r="AG246" s="25">
        <f t="shared" si="246"/>
        <v>843158</v>
      </c>
      <c r="AH246" s="28" t="s">
        <v>627</v>
      </c>
      <c r="AI246" s="72" t="s">
        <v>187</v>
      </c>
      <c r="AJ246" s="29">
        <f>137170.68-7903.65</f>
        <v>129267.03</v>
      </c>
      <c r="AK246" s="29">
        <f>10079.83+14572.02</f>
        <v>24651.85</v>
      </c>
    </row>
    <row r="247" spans="1:37" ht="409.5" x14ac:dyDescent="0.25">
      <c r="A247" s="5">
        <v>241</v>
      </c>
      <c r="B247" s="67">
        <v>110795</v>
      </c>
      <c r="C247" s="144">
        <v>127</v>
      </c>
      <c r="D247" s="67" t="s">
        <v>176</v>
      </c>
      <c r="E247" s="13" t="s">
        <v>165</v>
      </c>
      <c r="F247" s="119" t="s">
        <v>357</v>
      </c>
      <c r="G247" s="6" t="s">
        <v>707</v>
      </c>
      <c r="H247" s="20" t="s">
        <v>712</v>
      </c>
      <c r="I247" s="13" t="s">
        <v>713</v>
      </c>
      <c r="J247" s="73" t="s">
        <v>714</v>
      </c>
      <c r="K247" s="104">
        <v>43278</v>
      </c>
      <c r="L247" s="8">
        <v>43765</v>
      </c>
      <c r="M247" s="4">
        <f t="shared" si="248"/>
        <v>82.304181171723172</v>
      </c>
      <c r="N247" s="2" t="s">
        <v>359</v>
      </c>
      <c r="O247" s="2" t="s">
        <v>347</v>
      </c>
      <c r="P247" s="2" t="s">
        <v>347</v>
      </c>
      <c r="Q247" s="23" t="s">
        <v>361</v>
      </c>
      <c r="R247" s="2" t="s">
        <v>36</v>
      </c>
      <c r="S247" s="25">
        <f t="shared" si="241"/>
        <v>818511.09</v>
      </c>
      <c r="T247" s="25">
        <v>660057.88</v>
      </c>
      <c r="U247" s="25">
        <v>158453.21</v>
      </c>
      <c r="V247" s="25">
        <f t="shared" si="242"/>
        <v>156094.12</v>
      </c>
      <c r="W247" s="25">
        <v>116480.81</v>
      </c>
      <c r="X247" s="25">
        <v>39613.31</v>
      </c>
      <c r="Y247" s="25">
        <f t="shared" si="247"/>
        <v>0</v>
      </c>
      <c r="Z247" s="25"/>
      <c r="AA247" s="25"/>
      <c r="AB247" s="25">
        <f t="shared" si="249"/>
        <v>19889.939999999999</v>
      </c>
      <c r="AC247" s="25">
        <v>15847.76</v>
      </c>
      <c r="AD247" s="25">
        <v>4042.18</v>
      </c>
      <c r="AE247" s="25">
        <f t="shared" si="245"/>
        <v>994495.14999999991</v>
      </c>
      <c r="AF247" s="25"/>
      <c r="AG247" s="25">
        <f t="shared" si="246"/>
        <v>994495.14999999991</v>
      </c>
      <c r="AH247" s="28" t="s">
        <v>627</v>
      </c>
      <c r="AI247" s="72"/>
      <c r="AJ247" s="29">
        <f>157838.38+70218+75120.05</f>
        <v>303176.43</v>
      </c>
      <c r="AK247" s="29">
        <f>11135.04+27716.68</f>
        <v>38851.72</v>
      </c>
    </row>
    <row r="248" spans="1:37" ht="189" x14ac:dyDescent="0.25">
      <c r="A248" s="2">
        <v>242</v>
      </c>
      <c r="B248" s="67">
        <v>110651</v>
      </c>
      <c r="C248" s="144">
        <v>226</v>
      </c>
      <c r="D248" s="67" t="s">
        <v>173</v>
      </c>
      <c r="E248" s="13" t="s">
        <v>165</v>
      </c>
      <c r="F248" s="119" t="s">
        <v>357</v>
      </c>
      <c r="G248" s="56" t="s">
        <v>708</v>
      </c>
      <c r="H248" s="20" t="s">
        <v>709</v>
      </c>
      <c r="I248" s="13" t="s">
        <v>710</v>
      </c>
      <c r="J248" s="73" t="s">
        <v>711</v>
      </c>
      <c r="K248" s="104">
        <v>43278</v>
      </c>
      <c r="L248" s="8">
        <v>43765</v>
      </c>
      <c r="M248" s="4">
        <f t="shared" si="248"/>
        <v>82.795862353225218</v>
      </c>
      <c r="N248" s="2" t="s">
        <v>359</v>
      </c>
      <c r="O248" s="2" t="s">
        <v>347</v>
      </c>
      <c r="P248" s="2" t="s">
        <v>347</v>
      </c>
      <c r="Q248" s="23" t="s">
        <v>361</v>
      </c>
      <c r="R248" s="2" t="s">
        <v>36</v>
      </c>
      <c r="S248" s="25">
        <f t="shared" si="241"/>
        <v>774090.94000000006</v>
      </c>
      <c r="T248" s="25">
        <v>624236.92000000004</v>
      </c>
      <c r="U248" s="25">
        <v>149854.01999999999</v>
      </c>
      <c r="V248" s="25">
        <f t="shared" si="242"/>
        <v>142149.4</v>
      </c>
      <c r="W248" s="25">
        <v>105798.26</v>
      </c>
      <c r="X248" s="25">
        <v>36351.14</v>
      </c>
      <c r="Y248" s="25">
        <f t="shared" si="247"/>
        <v>0</v>
      </c>
      <c r="Z248" s="25"/>
      <c r="AA248" s="25"/>
      <c r="AB248" s="25">
        <f t="shared" si="249"/>
        <v>18698.82</v>
      </c>
      <c r="AC248" s="25">
        <v>14898.69</v>
      </c>
      <c r="AD248" s="25">
        <v>3800.13</v>
      </c>
      <c r="AE248" s="25">
        <f t="shared" si="245"/>
        <v>934939.16</v>
      </c>
      <c r="AF248" s="25">
        <v>0</v>
      </c>
      <c r="AG248" s="25">
        <f t="shared" si="246"/>
        <v>934939.16</v>
      </c>
      <c r="AH248" s="28" t="s">
        <v>627</v>
      </c>
      <c r="AI248" s="72" t="s">
        <v>187</v>
      </c>
      <c r="AJ248" s="29">
        <f>93127.69-32382.23+82358.09</f>
        <v>143103.54999999999</v>
      </c>
      <c r="AK248" s="29">
        <v>9460.82</v>
      </c>
    </row>
    <row r="249" spans="1:37" ht="346.5" x14ac:dyDescent="0.25">
      <c r="A249" s="5">
        <v>243</v>
      </c>
      <c r="B249" s="67">
        <v>111787</v>
      </c>
      <c r="C249" s="144">
        <v>169</v>
      </c>
      <c r="D249" s="67" t="s">
        <v>176</v>
      </c>
      <c r="E249" s="13" t="s">
        <v>165</v>
      </c>
      <c r="F249" s="119" t="s">
        <v>357</v>
      </c>
      <c r="G249" s="6" t="s">
        <v>715</v>
      </c>
      <c r="H249" s="20" t="s">
        <v>716</v>
      </c>
      <c r="I249" s="13" t="s">
        <v>459</v>
      </c>
      <c r="J249" s="73" t="s">
        <v>717</v>
      </c>
      <c r="K249" s="104">
        <v>43278</v>
      </c>
      <c r="L249" s="8">
        <v>43765</v>
      </c>
      <c r="M249" s="4">
        <f t="shared" si="248"/>
        <v>82.3041870859943</v>
      </c>
      <c r="N249" s="2" t="s">
        <v>359</v>
      </c>
      <c r="O249" s="2" t="s">
        <v>347</v>
      </c>
      <c r="P249" s="2" t="s">
        <v>347</v>
      </c>
      <c r="Q249" s="23" t="s">
        <v>361</v>
      </c>
      <c r="R249" s="2" t="s">
        <v>36</v>
      </c>
      <c r="S249" s="25">
        <f t="shared" si="241"/>
        <v>822921.17999999993</v>
      </c>
      <c r="T249" s="25">
        <v>663614.23</v>
      </c>
      <c r="U249" s="25">
        <v>159306.95000000001</v>
      </c>
      <c r="V249" s="25">
        <f t="shared" si="242"/>
        <v>156935.10999999999</v>
      </c>
      <c r="W249" s="25">
        <v>117108.39</v>
      </c>
      <c r="X249" s="25">
        <v>39826.720000000001</v>
      </c>
      <c r="Y249" s="25">
        <f t="shared" si="247"/>
        <v>0</v>
      </c>
      <c r="Z249" s="25"/>
      <c r="AA249" s="25"/>
      <c r="AB249" s="25">
        <f t="shared" si="249"/>
        <v>19997.07</v>
      </c>
      <c r="AC249" s="25">
        <v>15933.12</v>
      </c>
      <c r="AD249" s="25">
        <v>4063.95</v>
      </c>
      <c r="AE249" s="25">
        <f t="shared" si="245"/>
        <v>999853.35999999987</v>
      </c>
      <c r="AF249" s="25"/>
      <c r="AG249" s="25">
        <f t="shared" si="246"/>
        <v>999853.35999999987</v>
      </c>
      <c r="AH249" s="28" t="s">
        <v>627</v>
      </c>
      <c r="AI249" s="72"/>
      <c r="AJ249" s="29">
        <f>73296.53+95514.85+3270.71</f>
        <v>172082.09</v>
      </c>
      <c r="AK249" s="29">
        <f>13125.47+19691.44</f>
        <v>32816.909999999996</v>
      </c>
    </row>
    <row r="250" spans="1:37" ht="315" x14ac:dyDescent="0.25">
      <c r="A250" s="5">
        <v>244</v>
      </c>
      <c r="B250" s="67">
        <v>113139</v>
      </c>
      <c r="C250" s="144">
        <v>387</v>
      </c>
      <c r="D250" s="67" t="s">
        <v>163</v>
      </c>
      <c r="E250" s="13" t="s">
        <v>1137</v>
      </c>
      <c r="F250" s="119" t="s">
        <v>678</v>
      </c>
      <c r="G250" s="6" t="s">
        <v>724</v>
      </c>
      <c r="H250" s="20" t="s">
        <v>723</v>
      </c>
      <c r="I250" s="13" t="s">
        <v>725</v>
      </c>
      <c r="J250" s="73" t="s">
        <v>726</v>
      </c>
      <c r="K250" s="104">
        <v>43273</v>
      </c>
      <c r="L250" s="8">
        <v>43760</v>
      </c>
      <c r="M250" s="4">
        <f t="shared" si="248"/>
        <v>82.304185106128585</v>
      </c>
      <c r="N250" s="2" t="s">
        <v>359</v>
      </c>
      <c r="O250" s="2" t="s">
        <v>347</v>
      </c>
      <c r="P250" s="2" t="s">
        <v>347</v>
      </c>
      <c r="Q250" s="23" t="s">
        <v>361</v>
      </c>
      <c r="R250" s="2" t="s">
        <v>36</v>
      </c>
      <c r="S250" s="25">
        <f t="shared" si="241"/>
        <v>3201407.46</v>
      </c>
      <c r="T250" s="25">
        <v>2581656.2000000002</v>
      </c>
      <c r="U250" s="25">
        <v>619751.26</v>
      </c>
      <c r="V250" s="25">
        <f t="shared" si="242"/>
        <v>610524.23</v>
      </c>
      <c r="W250" s="25">
        <v>455586.4</v>
      </c>
      <c r="X250" s="25">
        <v>154937.82999999999</v>
      </c>
      <c r="Y250" s="25">
        <f t="shared" si="247"/>
        <v>0</v>
      </c>
      <c r="Z250" s="25">
        <v>0</v>
      </c>
      <c r="AA250" s="25">
        <v>0</v>
      </c>
      <c r="AB250" s="25">
        <f t="shared" si="249"/>
        <v>77794.52</v>
      </c>
      <c r="AC250" s="25">
        <v>61984.53</v>
      </c>
      <c r="AD250" s="25">
        <v>15809.99</v>
      </c>
      <c r="AE250" s="25">
        <f t="shared" si="245"/>
        <v>3889726.21</v>
      </c>
      <c r="AF250" s="25">
        <v>0</v>
      </c>
      <c r="AG250" s="25">
        <f t="shared" si="246"/>
        <v>3889726.21</v>
      </c>
      <c r="AH250" s="28" t="s">
        <v>627</v>
      </c>
      <c r="AI250" s="72" t="s">
        <v>187</v>
      </c>
      <c r="AJ250" s="29">
        <f>388971+375144.58-54672.24</f>
        <v>709443.34000000008</v>
      </c>
      <c r="AK250" s="29">
        <f>71541.92+54951.43</f>
        <v>126493.35</v>
      </c>
    </row>
    <row r="251" spans="1:37" ht="346.5" x14ac:dyDescent="0.25">
      <c r="A251" s="2">
        <v>245</v>
      </c>
      <c r="B251" s="67">
        <v>111603</v>
      </c>
      <c r="C251" s="144">
        <v>195</v>
      </c>
      <c r="D251" s="67" t="s">
        <v>172</v>
      </c>
      <c r="E251" s="13" t="s">
        <v>165</v>
      </c>
      <c r="F251" s="119" t="s">
        <v>357</v>
      </c>
      <c r="G251" s="69" t="s">
        <v>739</v>
      </c>
      <c r="H251" s="69" t="s">
        <v>737</v>
      </c>
      <c r="I251" s="2" t="s">
        <v>736</v>
      </c>
      <c r="J251" s="73" t="s">
        <v>738</v>
      </c>
      <c r="K251" s="104">
        <v>43283</v>
      </c>
      <c r="L251" s="8">
        <v>43771</v>
      </c>
      <c r="M251" s="4">
        <f t="shared" si="248"/>
        <v>82.579446124039606</v>
      </c>
      <c r="N251" s="2" t="s">
        <v>359</v>
      </c>
      <c r="O251" s="2" t="s">
        <v>347</v>
      </c>
      <c r="P251" s="2" t="s">
        <v>347</v>
      </c>
      <c r="Q251" s="23" t="s">
        <v>361</v>
      </c>
      <c r="R251" s="2" t="s">
        <v>36</v>
      </c>
      <c r="S251" s="25">
        <f t="shared" si="241"/>
        <v>822254.14</v>
      </c>
      <c r="T251" s="25">
        <v>663076.28</v>
      </c>
      <c r="U251" s="25">
        <v>159177.85999999999</v>
      </c>
      <c r="V251" s="25">
        <f t="shared" si="242"/>
        <v>153544.35999999999</v>
      </c>
      <c r="W251" s="25">
        <v>114413.2</v>
      </c>
      <c r="X251" s="25">
        <v>39131.160000000003</v>
      </c>
      <c r="Y251" s="25">
        <f t="shared" si="247"/>
        <v>0</v>
      </c>
      <c r="Z251" s="25"/>
      <c r="AA251" s="25"/>
      <c r="AB251" s="25">
        <f t="shared" si="249"/>
        <v>19914.330000000002</v>
      </c>
      <c r="AC251" s="25">
        <v>15867.19</v>
      </c>
      <c r="AD251" s="25">
        <v>4047.14</v>
      </c>
      <c r="AE251" s="25">
        <f t="shared" si="245"/>
        <v>995712.83</v>
      </c>
      <c r="AF251" s="25">
        <v>0</v>
      </c>
      <c r="AG251" s="25">
        <f t="shared" si="246"/>
        <v>995712.83</v>
      </c>
      <c r="AH251" s="28" t="s">
        <v>627</v>
      </c>
      <c r="AI251" s="72" t="s">
        <v>1168</v>
      </c>
      <c r="AJ251" s="29">
        <f>99571.31-9242.96+89177.68</f>
        <v>179506.03</v>
      </c>
      <c r="AK251" s="29">
        <f>15946.32+15174.65</f>
        <v>31120.97</v>
      </c>
    </row>
    <row r="252" spans="1:37" ht="141.75" x14ac:dyDescent="0.25">
      <c r="A252" s="5">
        <v>246</v>
      </c>
      <c r="B252" s="67">
        <v>113188</v>
      </c>
      <c r="C252" s="144">
        <v>246</v>
      </c>
      <c r="D252" s="67" t="s">
        <v>171</v>
      </c>
      <c r="E252" s="13" t="s">
        <v>165</v>
      </c>
      <c r="F252" s="119" t="s">
        <v>357</v>
      </c>
      <c r="G252" s="56" t="s">
        <v>745</v>
      </c>
      <c r="H252" s="20" t="s">
        <v>746</v>
      </c>
      <c r="I252" s="13" t="s">
        <v>459</v>
      </c>
      <c r="J252" s="73" t="s">
        <v>747</v>
      </c>
      <c r="K252" s="104">
        <v>43284</v>
      </c>
      <c r="L252" s="8">
        <v>43711</v>
      </c>
      <c r="M252" s="4">
        <f t="shared" si="248"/>
        <v>82.304188575115816</v>
      </c>
      <c r="N252" s="2" t="s">
        <v>359</v>
      </c>
      <c r="O252" s="2" t="s">
        <v>347</v>
      </c>
      <c r="P252" s="2" t="s">
        <v>347</v>
      </c>
      <c r="Q252" s="23" t="s">
        <v>361</v>
      </c>
      <c r="R252" s="2" t="s">
        <v>36</v>
      </c>
      <c r="S252" s="25">
        <f t="shared" si="241"/>
        <v>745468.83000000007</v>
      </c>
      <c r="T252" s="25">
        <v>601155.66</v>
      </c>
      <c r="U252" s="25">
        <v>144313.17000000001</v>
      </c>
      <c r="V252" s="25">
        <f t="shared" si="242"/>
        <v>142164.54</v>
      </c>
      <c r="W252" s="25">
        <v>106086.28</v>
      </c>
      <c r="X252" s="25">
        <v>36078.26</v>
      </c>
      <c r="Y252" s="25">
        <f t="shared" si="247"/>
        <v>0</v>
      </c>
      <c r="Z252" s="25">
        <v>0</v>
      </c>
      <c r="AA252" s="25">
        <v>0</v>
      </c>
      <c r="AB252" s="25">
        <f t="shared" si="249"/>
        <v>18114.98</v>
      </c>
      <c r="AC252" s="25">
        <v>14433.5</v>
      </c>
      <c r="AD252" s="25">
        <v>3681.48</v>
      </c>
      <c r="AE252" s="25">
        <f t="shared" si="245"/>
        <v>905748.35000000009</v>
      </c>
      <c r="AF252" s="25">
        <v>0</v>
      </c>
      <c r="AG252" s="25">
        <f t="shared" si="246"/>
        <v>905748.35000000009</v>
      </c>
      <c r="AH252" s="28" t="s">
        <v>627</v>
      </c>
      <c r="AI252" s="72" t="s">
        <v>187</v>
      </c>
      <c r="AJ252" s="29">
        <f>76816.8+130770.26-14027.52</f>
        <v>193559.54</v>
      </c>
      <c r="AK252" s="29">
        <f>13758.03+8556.79+14027.52</f>
        <v>36342.339999999997</v>
      </c>
    </row>
    <row r="253" spans="1:37" ht="252" x14ac:dyDescent="0.25">
      <c r="A253" s="5">
        <v>247</v>
      </c>
      <c r="B253" s="67">
        <v>116097</v>
      </c>
      <c r="C253" s="144">
        <v>394</v>
      </c>
      <c r="D253" s="67" t="s">
        <v>177</v>
      </c>
      <c r="E253" s="235" t="s">
        <v>165</v>
      </c>
      <c r="F253" s="116" t="s">
        <v>484</v>
      </c>
      <c r="G253" s="73" t="s">
        <v>759</v>
      </c>
      <c r="H253" s="20" t="s">
        <v>758</v>
      </c>
      <c r="I253" s="13" t="s">
        <v>543</v>
      </c>
      <c r="J253" s="73" t="s">
        <v>760</v>
      </c>
      <c r="K253" s="104">
        <v>43284</v>
      </c>
      <c r="L253" s="8">
        <v>44077</v>
      </c>
      <c r="M253" s="4">
        <f t="shared" si="248"/>
        <v>83.983862774791262</v>
      </c>
      <c r="N253" s="2" t="s">
        <v>359</v>
      </c>
      <c r="O253" s="2" t="s">
        <v>347</v>
      </c>
      <c r="P253" s="2" t="s">
        <v>347</v>
      </c>
      <c r="Q253" s="23" t="s">
        <v>157</v>
      </c>
      <c r="R253" s="2" t="s">
        <v>36</v>
      </c>
      <c r="S253" s="25">
        <f t="shared" si="241"/>
        <v>6396515.5899999999</v>
      </c>
      <c r="T253" s="25">
        <v>5158232.53</v>
      </c>
      <c r="U253" s="25">
        <v>1238283.06</v>
      </c>
      <c r="V253" s="25">
        <f t="shared" si="242"/>
        <v>472527.32999999996</v>
      </c>
      <c r="W253" s="25">
        <v>349201.67</v>
      </c>
      <c r="X253" s="25">
        <v>123325.66</v>
      </c>
      <c r="Y253" s="25">
        <f t="shared" si="247"/>
        <v>747319.77</v>
      </c>
      <c r="Z253" s="25">
        <v>561074.66</v>
      </c>
      <c r="AA253" s="25">
        <v>186245.11</v>
      </c>
      <c r="AB253" s="25">
        <f t="shared" si="249"/>
        <v>0</v>
      </c>
      <c r="AC253" s="25">
        <v>0</v>
      </c>
      <c r="AD253" s="25">
        <v>0</v>
      </c>
      <c r="AE253" s="25">
        <f t="shared" si="245"/>
        <v>7616362.6899999995</v>
      </c>
      <c r="AF253" s="25">
        <v>0</v>
      </c>
      <c r="AG253" s="25">
        <f t="shared" si="246"/>
        <v>7616362.6899999995</v>
      </c>
      <c r="AH253" s="28" t="s">
        <v>627</v>
      </c>
      <c r="AI253" s="72" t="s">
        <v>187</v>
      </c>
      <c r="AJ253" s="29">
        <f>253980+93643.83</f>
        <v>347623.83</v>
      </c>
      <c r="AK253" s="29">
        <v>4416.62</v>
      </c>
    </row>
    <row r="254" spans="1:37" ht="409.5" x14ac:dyDescent="0.25">
      <c r="A254" s="2">
        <v>248</v>
      </c>
      <c r="B254" s="67">
        <v>109966</v>
      </c>
      <c r="C254" s="144">
        <v>368</v>
      </c>
      <c r="D254" s="67" t="s">
        <v>177</v>
      </c>
      <c r="E254" s="13" t="s">
        <v>165</v>
      </c>
      <c r="F254" s="119" t="s">
        <v>357</v>
      </c>
      <c r="G254" s="239" t="s">
        <v>755</v>
      </c>
      <c r="H254" s="239" t="s">
        <v>756</v>
      </c>
      <c r="I254" s="13" t="s">
        <v>459</v>
      </c>
      <c r="J254" s="73" t="s">
        <v>757</v>
      </c>
      <c r="K254" s="104">
        <v>43284</v>
      </c>
      <c r="L254" s="8">
        <v>43772</v>
      </c>
      <c r="M254" s="4">
        <f t="shared" si="248"/>
        <v>82.304190385931335</v>
      </c>
      <c r="N254" s="2" t="s">
        <v>359</v>
      </c>
      <c r="O254" s="2" t="s">
        <v>355</v>
      </c>
      <c r="P254" s="2" t="s">
        <v>1047</v>
      </c>
      <c r="Q254" s="23" t="s">
        <v>361</v>
      </c>
      <c r="R254" s="2" t="s">
        <v>36</v>
      </c>
      <c r="S254" s="25">
        <f t="shared" si="241"/>
        <v>820713.65</v>
      </c>
      <c r="T254" s="25">
        <v>661834.04</v>
      </c>
      <c r="U254" s="25">
        <v>158879.60999999999</v>
      </c>
      <c r="V254" s="25">
        <f t="shared" si="242"/>
        <v>156514.07999999999</v>
      </c>
      <c r="W254" s="25">
        <v>116794.2</v>
      </c>
      <c r="X254" s="25">
        <v>39719.879999999997</v>
      </c>
      <c r="Y254" s="25">
        <f t="shared" si="247"/>
        <v>0</v>
      </c>
      <c r="Z254" s="25">
        <v>0</v>
      </c>
      <c r="AA254" s="25">
        <v>0</v>
      </c>
      <c r="AB254" s="25">
        <f t="shared" si="249"/>
        <v>19943.43</v>
      </c>
      <c r="AC254" s="25">
        <v>15890.39</v>
      </c>
      <c r="AD254" s="25">
        <v>4053.04</v>
      </c>
      <c r="AE254" s="25">
        <f t="shared" si="245"/>
        <v>997171.16</v>
      </c>
      <c r="AF254" s="25">
        <v>0</v>
      </c>
      <c r="AG254" s="25">
        <f t="shared" si="246"/>
        <v>997171.16</v>
      </c>
      <c r="AH254" s="28" t="s">
        <v>627</v>
      </c>
      <c r="AI254" s="72" t="s">
        <v>187</v>
      </c>
      <c r="AJ254" s="29">
        <f>97719.31+82606.17+3211.32</f>
        <v>183536.8</v>
      </c>
      <c r="AK254" s="29">
        <f>16734.59+7125.74+9148.44</f>
        <v>33008.770000000004</v>
      </c>
    </row>
    <row r="255" spans="1:37" ht="141.75" x14ac:dyDescent="0.25">
      <c r="A255" s="5">
        <v>249</v>
      </c>
      <c r="B255" s="67">
        <v>112133</v>
      </c>
      <c r="C255" s="144">
        <v>149</v>
      </c>
      <c r="D255" s="67" t="s">
        <v>689</v>
      </c>
      <c r="E255" s="13" t="s">
        <v>165</v>
      </c>
      <c r="F255" s="119" t="s">
        <v>357</v>
      </c>
      <c r="G255" s="70" t="s">
        <v>762</v>
      </c>
      <c r="H255" s="20" t="s">
        <v>763</v>
      </c>
      <c r="I255" s="13" t="s">
        <v>764</v>
      </c>
      <c r="J255" s="240" t="s">
        <v>765</v>
      </c>
      <c r="K255" s="104">
        <v>43286</v>
      </c>
      <c r="L255" s="8">
        <v>43773</v>
      </c>
      <c r="M255" s="4">
        <f t="shared" si="248"/>
        <v>82.304192989201169</v>
      </c>
      <c r="N255" s="2" t="s">
        <v>359</v>
      </c>
      <c r="O255" s="2" t="s">
        <v>766</v>
      </c>
      <c r="P255" s="2" t="s">
        <v>754</v>
      </c>
      <c r="Q255" s="23" t="s">
        <v>361</v>
      </c>
      <c r="R255" s="2" t="s">
        <v>36</v>
      </c>
      <c r="S255" s="25">
        <v>615782.40000000002</v>
      </c>
      <c r="T255" s="25">
        <v>496574.82</v>
      </c>
      <c r="U255" s="25">
        <v>119207.58</v>
      </c>
      <c r="V255" s="25">
        <f t="shared" si="242"/>
        <v>117432.69</v>
      </c>
      <c r="W255" s="25">
        <v>87630.81</v>
      </c>
      <c r="X255" s="25">
        <v>29801.88</v>
      </c>
      <c r="Y255" s="25">
        <f>Z255+AA255</f>
        <v>0</v>
      </c>
      <c r="Z255" s="25"/>
      <c r="AA255" s="25"/>
      <c r="AB255" s="25">
        <f>AC255+AD255</f>
        <v>14963.56</v>
      </c>
      <c r="AC255" s="25">
        <v>11922.59</v>
      </c>
      <c r="AD255" s="25">
        <v>3040.97</v>
      </c>
      <c r="AE255" s="25">
        <f t="shared" si="245"/>
        <v>748178.65000000014</v>
      </c>
      <c r="AF255" s="25"/>
      <c r="AG255" s="25">
        <f t="shared" si="246"/>
        <v>748178.65000000014</v>
      </c>
      <c r="AH255" s="28" t="s">
        <v>627</v>
      </c>
      <c r="AI255" s="72" t="s">
        <v>187</v>
      </c>
      <c r="AJ255" s="29">
        <f>67020+7797+44875.55+3783.2</f>
        <v>123475.75</v>
      </c>
      <c r="AK255" s="29">
        <f>8557.98+2208.4</f>
        <v>10766.38</v>
      </c>
    </row>
    <row r="256" spans="1:37" ht="141.75" x14ac:dyDescent="0.25">
      <c r="A256" s="5">
        <v>250</v>
      </c>
      <c r="B256" s="67">
        <v>112698</v>
      </c>
      <c r="C256" s="144">
        <v>231</v>
      </c>
      <c r="D256" s="67" t="s">
        <v>171</v>
      </c>
      <c r="E256" s="13" t="s">
        <v>165</v>
      </c>
      <c r="F256" s="119" t="s">
        <v>357</v>
      </c>
      <c r="G256" s="70" t="s">
        <v>771</v>
      </c>
      <c r="H256" s="20" t="s">
        <v>772</v>
      </c>
      <c r="I256" s="13" t="s">
        <v>773</v>
      </c>
      <c r="J256" s="240" t="s">
        <v>774</v>
      </c>
      <c r="K256" s="104">
        <v>43273</v>
      </c>
      <c r="L256" s="8">
        <v>43638</v>
      </c>
      <c r="M256" s="4">
        <f t="shared" si="248"/>
        <v>82.525439844084019</v>
      </c>
      <c r="N256" s="2" t="s">
        <v>359</v>
      </c>
      <c r="O256" s="2" t="s">
        <v>347</v>
      </c>
      <c r="P256" s="2" t="s">
        <v>347</v>
      </c>
      <c r="Q256" s="23" t="s">
        <v>361</v>
      </c>
      <c r="R256" s="2" t="s">
        <v>36</v>
      </c>
      <c r="S256" s="25">
        <f t="shared" si="241"/>
        <v>815706.04</v>
      </c>
      <c r="T256" s="25">
        <v>657795.85</v>
      </c>
      <c r="U256" s="25">
        <v>157910.19</v>
      </c>
      <c r="V256" s="25">
        <f t="shared" si="242"/>
        <v>134706.16</v>
      </c>
      <c r="W256" s="25">
        <v>100520.65</v>
      </c>
      <c r="X256" s="25">
        <v>34185.51</v>
      </c>
      <c r="Y256" s="25">
        <f t="shared" si="247"/>
        <v>20853.009999999998</v>
      </c>
      <c r="Z256" s="25">
        <v>15560.97</v>
      </c>
      <c r="AA256" s="25">
        <v>5292.04</v>
      </c>
      <c r="AB256" s="25">
        <f t="shared" si="249"/>
        <v>17164.59</v>
      </c>
      <c r="AC256" s="25">
        <v>13676.27</v>
      </c>
      <c r="AD256" s="25">
        <v>3488.32</v>
      </c>
      <c r="AE256" s="25">
        <f t="shared" si="245"/>
        <v>988429.8</v>
      </c>
      <c r="AF256" s="25"/>
      <c r="AG256" s="25">
        <f t="shared" si="246"/>
        <v>988429.8</v>
      </c>
      <c r="AH256" s="28" t="s">
        <v>627</v>
      </c>
      <c r="AI256" s="72" t="s">
        <v>187</v>
      </c>
      <c r="AJ256" s="29">
        <f>85822.98+78186.5</f>
        <v>164009.47999999998</v>
      </c>
      <c r="AK256" s="29">
        <v>14910.56</v>
      </c>
    </row>
    <row r="257" spans="1:37" ht="409.5" x14ac:dyDescent="0.25">
      <c r="A257" s="2">
        <v>251</v>
      </c>
      <c r="B257" s="67">
        <v>112427</v>
      </c>
      <c r="C257" s="144">
        <v>367</v>
      </c>
      <c r="D257" s="67" t="s">
        <v>177</v>
      </c>
      <c r="E257" s="13" t="s">
        <v>165</v>
      </c>
      <c r="F257" s="119" t="s">
        <v>357</v>
      </c>
      <c r="G257" s="70" t="s">
        <v>778</v>
      </c>
      <c r="H257" s="20" t="s">
        <v>779</v>
      </c>
      <c r="I257" s="13" t="s">
        <v>781</v>
      </c>
      <c r="J257" s="73" t="s">
        <v>780</v>
      </c>
      <c r="K257" s="104">
        <v>43290</v>
      </c>
      <c r="L257" s="8">
        <v>43778</v>
      </c>
      <c r="M257" s="4">
        <f t="shared" si="248"/>
        <v>82.304189883139372</v>
      </c>
      <c r="N257" s="2" t="s">
        <v>359</v>
      </c>
      <c r="O257" s="2" t="s">
        <v>347</v>
      </c>
      <c r="P257" s="2" t="s">
        <v>347</v>
      </c>
      <c r="Q257" s="23" t="s">
        <v>361</v>
      </c>
      <c r="R257" s="2" t="s">
        <v>36</v>
      </c>
      <c r="S257" s="25">
        <f t="shared" si="241"/>
        <v>785233.14</v>
      </c>
      <c r="T257" s="25">
        <v>633222.11</v>
      </c>
      <c r="U257" s="25">
        <v>152011.03</v>
      </c>
      <c r="V257" s="25">
        <f t="shared" si="242"/>
        <v>149747.75</v>
      </c>
      <c r="W257" s="25">
        <v>111745.03</v>
      </c>
      <c r="X257" s="25">
        <v>38002.720000000001</v>
      </c>
      <c r="Y257" s="25">
        <f t="shared" si="247"/>
        <v>0</v>
      </c>
      <c r="Z257" s="25">
        <v>0</v>
      </c>
      <c r="AA257" s="25">
        <v>0</v>
      </c>
      <c r="AB257" s="25">
        <f t="shared" si="249"/>
        <v>19081.28</v>
      </c>
      <c r="AC257" s="25">
        <v>15203.43</v>
      </c>
      <c r="AD257" s="25">
        <v>3877.85</v>
      </c>
      <c r="AE257" s="25">
        <f t="shared" si="245"/>
        <v>954062.17</v>
      </c>
      <c r="AF257" s="25">
        <v>0</v>
      </c>
      <c r="AG257" s="25">
        <f t="shared" si="246"/>
        <v>954062.17</v>
      </c>
      <c r="AH257" s="28" t="s">
        <v>627</v>
      </c>
      <c r="AI257" s="72" t="s">
        <v>187</v>
      </c>
      <c r="AJ257" s="29">
        <f>57915.69+124630.09-868.64</f>
        <v>181677.13999999998</v>
      </c>
      <c r="AK257" s="29">
        <f>16617.93+10285.59</f>
        <v>26903.52</v>
      </c>
    </row>
    <row r="258" spans="1:37" ht="141.75" x14ac:dyDescent="0.25">
      <c r="A258" s="5">
        <v>252</v>
      </c>
      <c r="B258" s="67">
        <v>112409</v>
      </c>
      <c r="C258" s="144">
        <v>150</v>
      </c>
      <c r="D258" s="67" t="s">
        <v>689</v>
      </c>
      <c r="E258" s="13" t="s">
        <v>165</v>
      </c>
      <c r="F258" s="119" t="s">
        <v>357</v>
      </c>
      <c r="G258" s="70" t="s">
        <v>782</v>
      </c>
      <c r="H258" s="20" t="s">
        <v>783</v>
      </c>
      <c r="I258" s="13" t="s">
        <v>389</v>
      </c>
      <c r="J258" s="73" t="s">
        <v>784</v>
      </c>
      <c r="K258" s="104">
        <v>43291</v>
      </c>
      <c r="L258" s="8">
        <v>43778</v>
      </c>
      <c r="M258" s="4">
        <f t="shared" si="248"/>
        <v>82.304188969946821</v>
      </c>
      <c r="N258" s="2" t="s">
        <v>359</v>
      </c>
      <c r="O258" s="2" t="s">
        <v>466</v>
      </c>
      <c r="P258" s="2" t="s">
        <v>338</v>
      </c>
      <c r="Q258" s="23" t="s">
        <v>361</v>
      </c>
      <c r="R258" s="2" t="s">
        <v>36</v>
      </c>
      <c r="S258" s="25">
        <f t="shared" si="241"/>
        <v>780523.20000000007</v>
      </c>
      <c r="T258" s="25">
        <v>629423.91</v>
      </c>
      <c r="U258" s="25">
        <v>151099.29</v>
      </c>
      <c r="V258" s="25">
        <f t="shared" si="242"/>
        <v>148849.57</v>
      </c>
      <c r="W258" s="25">
        <v>111074.8</v>
      </c>
      <c r="X258" s="25">
        <v>37774.769999999997</v>
      </c>
      <c r="Y258" s="25">
        <f t="shared" si="247"/>
        <v>0</v>
      </c>
      <c r="Z258" s="25"/>
      <c r="AA258" s="25"/>
      <c r="AB258" s="25">
        <f t="shared" si="249"/>
        <v>18966.810000000001</v>
      </c>
      <c r="AC258" s="25">
        <v>15112.25</v>
      </c>
      <c r="AD258" s="25">
        <v>3854.56</v>
      </c>
      <c r="AE258" s="25">
        <f t="shared" si="245"/>
        <v>948339.58000000007</v>
      </c>
      <c r="AF258" s="25">
        <v>0</v>
      </c>
      <c r="AG258" s="25">
        <f t="shared" si="246"/>
        <v>948339.58000000007</v>
      </c>
      <c r="AH258" s="28" t="s">
        <v>627</v>
      </c>
      <c r="AI258" s="72" t="s">
        <v>187</v>
      </c>
      <c r="AJ258" s="29">
        <f>94833+71891.83-13619.36</f>
        <v>153105.47000000003</v>
      </c>
      <c r="AK258" s="29">
        <f>13710.12+13619.36</f>
        <v>27329.480000000003</v>
      </c>
    </row>
    <row r="259" spans="1:37" ht="141.75" x14ac:dyDescent="0.25">
      <c r="A259" s="5">
        <v>253</v>
      </c>
      <c r="B259" s="67">
        <v>112861</v>
      </c>
      <c r="C259" s="144">
        <v>324</v>
      </c>
      <c r="D259" s="67" t="s">
        <v>168</v>
      </c>
      <c r="E259" s="13" t="s">
        <v>165</v>
      </c>
      <c r="F259" s="119" t="s">
        <v>357</v>
      </c>
      <c r="G259" s="56" t="s">
        <v>785</v>
      </c>
      <c r="H259" s="20" t="s">
        <v>786</v>
      </c>
      <c r="I259" s="13" t="s">
        <v>389</v>
      </c>
      <c r="J259" s="241" t="s">
        <v>787</v>
      </c>
      <c r="K259" s="104">
        <v>43290</v>
      </c>
      <c r="L259" s="8">
        <v>43777</v>
      </c>
      <c r="M259" s="4">
        <f t="shared" si="248"/>
        <v>82.304190691615503</v>
      </c>
      <c r="N259" s="2" t="s">
        <v>359</v>
      </c>
      <c r="O259" s="2" t="s">
        <v>156</v>
      </c>
      <c r="P259" s="2" t="s">
        <v>156</v>
      </c>
      <c r="Q259" s="23"/>
      <c r="R259" s="2" t="s">
        <v>36</v>
      </c>
      <c r="S259" s="25">
        <f t="shared" si="241"/>
        <v>649951.84000000008</v>
      </c>
      <c r="T259" s="25">
        <v>524129.52</v>
      </c>
      <c r="U259" s="25">
        <v>125822.32</v>
      </c>
      <c r="V259" s="25">
        <f t="shared" si="242"/>
        <v>123949</v>
      </c>
      <c r="W259" s="25">
        <v>92493.43</v>
      </c>
      <c r="X259" s="25">
        <v>31455.57</v>
      </c>
      <c r="Y259" s="25">
        <f t="shared" si="247"/>
        <v>0</v>
      </c>
      <c r="Z259" s="25"/>
      <c r="AA259" s="25"/>
      <c r="AB259" s="25">
        <f>AC259+AD259</f>
        <v>15793.869999999999</v>
      </c>
      <c r="AC259" s="25">
        <v>12584.14</v>
      </c>
      <c r="AD259" s="25">
        <v>3209.73</v>
      </c>
      <c r="AE259" s="25">
        <f t="shared" si="245"/>
        <v>789694.71000000008</v>
      </c>
      <c r="AF259" s="25">
        <v>0</v>
      </c>
      <c r="AG259" s="25">
        <f t="shared" si="246"/>
        <v>789694.71000000008</v>
      </c>
      <c r="AH259" s="28" t="s">
        <v>627</v>
      </c>
      <c r="AI259" s="72" t="s">
        <v>1212</v>
      </c>
      <c r="AJ259" s="29">
        <f>78969.47+33506.04</f>
        <v>112475.51000000001</v>
      </c>
      <c r="AK259" s="29">
        <v>6389.76</v>
      </c>
    </row>
    <row r="260" spans="1:37" ht="189" x14ac:dyDescent="0.25">
      <c r="A260" s="2">
        <v>254</v>
      </c>
      <c r="B260" s="67">
        <v>110709</v>
      </c>
      <c r="C260" s="144">
        <v>313</v>
      </c>
      <c r="D260" s="242" t="s">
        <v>168</v>
      </c>
      <c r="E260" s="13" t="s">
        <v>165</v>
      </c>
      <c r="F260" s="119" t="s">
        <v>357</v>
      </c>
      <c r="G260" s="56" t="s">
        <v>788</v>
      </c>
      <c r="H260" s="20" t="s">
        <v>789</v>
      </c>
      <c r="I260" s="13" t="s">
        <v>389</v>
      </c>
      <c r="J260" s="241" t="s">
        <v>790</v>
      </c>
      <c r="K260" s="104">
        <v>43291</v>
      </c>
      <c r="L260" s="8">
        <v>43779</v>
      </c>
      <c r="M260" s="4">
        <f t="shared" si="248"/>
        <v>82.304183081659716</v>
      </c>
      <c r="N260" s="2" t="s">
        <v>359</v>
      </c>
      <c r="O260" s="2" t="s">
        <v>156</v>
      </c>
      <c r="P260" s="2" t="s">
        <v>156</v>
      </c>
      <c r="Q260" s="23"/>
      <c r="R260" s="2" t="s">
        <v>36</v>
      </c>
      <c r="S260" s="25">
        <f t="shared" si="241"/>
        <v>821857.62999999989</v>
      </c>
      <c r="T260" s="25">
        <v>662756.56999999995</v>
      </c>
      <c r="U260" s="25">
        <v>159101.06</v>
      </c>
      <c r="V260" s="25">
        <f t="shared" si="242"/>
        <v>156732.34</v>
      </c>
      <c r="W260" s="25">
        <v>116957.1</v>
      </c>
      <c r="X260" s="25">
        <v>39775.24</v>
      </c>
      <c r="Y260" s="25">
        <f t="shared" si="247"/>
        <v>0</v>
      </c>
      <c r="Z260" s="25"/>
      <c r="AA260" s="25"/>
      <c r="AB260" s="25">
        <f t="shared" si="249"/>
        <v>19971.22</v>
      </c>
      <c r="AC260" s="25">
        <v>15912.5</v>
      </c>
      <c r="AD260" s="25">
        <v>4058.72</v>
      </c>
      <c r="AE260" s="25">
        <f t="shared" si="245"/>
        <v>998561.18999999983</v>
      </c>
      <c r="AF260" s="25">
        <v>576</v>
      </c>
      <c r="AG260" s="25">
        <f>AE260+AF260</f>
        <v>999137.18999999983</v>
      </c>
      <c r="AH260" s="28" t="s">
        <v>627</v>
      </c>
      <c r="AI260" s="72" t="s">
        <v>187</v>
      </c>
      <c r="AJ260" s="29">
        <f>99856.11-15338.74+81959.76</f>
        <v>166477.13</v>
      </c>
      <c r="AK260" s="29">
        <f>15338.74+13810.74</f>
        <v>29149.48</v>
      </c>
    </row>
    <row r="261" spans="1:37" ht="378" x14ac:dyDescent="0.25">
      <c r="A261" s="5">
        <v>255</v>
      </c>
      <c r="B261" s="67">
        <v>113039</v>
      </c>
      <c r="C261" s="144">
        <v>200</v>
      </c>
      <c r="D261" s="67" t="s">
        <v>173</v>
      </c>
      <c r="E261" s="13" t="s">
        <v>165</v>
      </c>
      <c r="F261" s="119" t="s">
        <v>357</v>
      </c>
      <c r="G261" s="243" t="s">
        <v>797</v>
      </c>
      <c r="H261" s="71" t="s">
        <v>798</v>
      </c>
      <c r="I261" s="13" t="s">
        <v>389</v>
      </c>
      <c r="J261" s="73" t="s">
        <v>799</v>
      </c>
      <c r="K261" s="104">
        <v>43291</v>
      </c>
      <c r="L261" s="8">
        <v>43779</v>
      </c>
      <c r="M261" s="4">
        <f>S261/AE261*100</f>
        <v>82.30418382046426</v>
      </c>
      <c r="N261" s="2" t="s">
        <v>359</v>
      </c>
      <c r="O261" s="2" t="s">
        <v>309</v>
      </c>
      <c r="P261" s="2" t="s">
        <v>800</v>
      </c>
      <c r="Q261" s="23" t="s">
        <v>361</v>
      </c>
      <c r="R261" s="2" t="s">
        <v>36</v>
      </c>
      <c r="S261" s="25">
        <f t="shared" si="241"/>
        <v>812437.94000000006</v>
      </c>
      <c r="T261" s="25">
        <v>655160.41</v>
      </c>
      <c r="U261" s="25">
        <v>157277.53</v>
      </c>
      <c r="V261" s="25">
        <f t="shared" si="242"/>
        <v>154935.91999999998</v>
      </c>
      <c r="W261" s="25">
        <v>115616.54</v>
      </c>
      <c r="X261" s="25">
        <v>39319.379999999997</v>
      </c>
      <c r="Y261" s="25">
        <f t="shared" si="247"/>
        <v>0</v>
      </c>
      <c r="Z261" s="25">
        <v>0</v>
      </c>
      <c r="AA261" s="25">
        <v>0</v>
      </c>
      <c r="AB261" s="25">
        <f t="shared" si="249"/>
        <v>19742.349999999999</v>
      </c>
      <c r="AC261" s="25">
        <v>15730.16</v>
      </c>
      <c r="AD261" s="25">
        <v>4012.19</v>
      </c>
      <c r="AE261" s="25">
        <f t="shared" si="245"/>
        <v>987116.21000000008</v>
      </c>
      <c r="AF261" s="25"/>
      <c r="AG261" s="25">
        <f t="shared" si="246"/>
        <v>987116.21000000008</v>
      </c>
      <c r="AH261" s="28" t="s">
        <v>627</v>
      </c>
      <c r="AI261" s="72" t="s">
        <v>187</v>
      </c>
      <c r="AJ261" s="29">
        <f>98711.62+82894.54-376.83</f>
        <v>181229.33</v>
      </c>
      <c r="AK261" s="29">
        <f>15808.4+376.83</f>
        <v>16185.23</v>
      </c>
    </row>
    <row r="262" spans="1:37" ht="141.75" x14ac:dyDescent="0.25">
      <c r="A262" s="5">
        <v>256</v>
      </c>
      <c r="B262" s="67">
        <v>113125</v>
      </c>
      <c r="C262" s="144">
        <v>230</v>
      </c>
      <c r="D262" s="67" t="s">
        <v>171</v>
      </c>
      <c r="E262" s="13" t="s">
        <v>165</v>
      </c>
      <c r="F262" s="119" t="s">
        <v>357</v>
      </c>
      <c r="G262" s="56" t="s">
        <v>808</v>
      </c>
      <c r="H262" s="20" t="s">
        <v>809</v>
      </c>
      <c r="I262" s="13" t="s">
        <v>389</v>
      </c>
      <c r="J262" s="90" t="s">
        <v>810</v>
      </c>
      <c r="K262" s="104">
        <v>43291</v>
      </c>
      <c r="L262" s="8">
        <v>43718</v>
      </c>
      <c r="M262" s="4">
        <f t="shared" si="248"/>
        <v>82.304188716846156</v>
      </c>
      <c r="N262" s="2" t="s">
        <v>359</v>
      </c>
      <c r="O262" s="2" t="s">
        <v>347</v>
      </c>
      <c r="P262" s="2" t="s">
        <v>347</v>
      </c>
      <c r="Q262" s="23" t="s">
        <v>361</v>
      </c>
      <c r="R262" s="2" t="s">
        <v>36</v>
      </c>
      <c r="S262" s="25">
        <f t="shared" si="241"/>
        <v>736342.77</v>
      </c>
      <c r="T262" s="25">
        <v>593796.28</v>
      </c>
      <c r="U262" s="25">
        <v>142546.49</v>
      </c>
      <c r="V262" s="25">
        <f t="shared" si="242"/>
        <v>140424.16999999998</v>
      </c>
      <c r="W262" s="25">
        <v>104787.58</v>
      </c>
      <c r="X262" s="25">
        <v>35636.589999999997</v>
      </c>
      <c r="Y262" s="25">
        <f t="shared" si="247"/>
        <v>0</v>
      </c>
      <c r="Z262" s="25"/>
      <c r="AA262" s="25"/>
      <c r="AB262" s="25">
        <f t="shared" si="249"/>
        <v>17893.2</v>
      </c>
      <c r="AC262" s="25">
        <v>14256.8</v>
      </c>
      <c r="AD262" s="25">
        <v>3636.4</v>
      </c>
      <c r="AE262" s="25">
        <f t="shared" si="245"/>
        <v>894660.1399999999</v>
      </c>
      <c r="AF262" s="25">
        <v>0</v>
      </c>
      <c r="AG262" s="25">
        <f t="shared" si="246"/>
        <v>894660.1399999999</v>
      </c>
      <c r="AH262" s="28" t="s">
        <v>627</v>
      </c>
      <c r="AI262" s="72" t="s">
        <v>459</v>
      </c>
      <c r="AJ262" s="29">
        <f>89466-9346.06+57163.11</f>
        <v>137283.04999999999</v>
      </c>
      <c r="AK262" s="29">
        <v>9346.06</v>
      </c>
    </row>
    <row r="263" spans="1:37" ht="299.25" x14ac:dyDescent="0.25">
      <c r="A263" s="2">
        <v>257</v>
      </c>
      <c r="B263" s="67">
        <v>112435</v>
      </c>
      <c r="C263" s="144">
        <v>323</v>
      </c>
      <c r="D263" s="67" t="s">
        <v>168</v>
      </c>
      <c r="E263" s="13" t="s">
        <v>165</v>
      </c>
      <c r="F263" s="119" t="s">
        <v>357</v>
      </c>
      <c r="G263" s="56" t="s">
        <v>811</v>
      </c>
      <c r="H263" s="20" t="s">
        <v>812</v>
      </c>
      <c r="I263" s="13" t="s">
        <v>813</v>
      </c>
      <c r="J263" s="73" t="s">
        <v>814</v>
      </c>
      <c r="K263" s="104">
        <v>43292</v>
      </c>
      <c r="L263" s="8">
        <v>43656</v>
      </c>
      <c r="M263" s="4">
        <f t="shared" si="248"/>
        <v>82.304183058122618</v>
      </c>
      <c r="N263" s="2" t="s">
        <v>359</v>
      </c>
      <c r="O263" s="2" t="s">
        <v>369</v>
      </c>
      <c r="P263" s="2" t="s">
        <v>369</v>
      </c>
      <c r="Q263" s="23" t="s">
        <v>361</v>
      </c>
      <c r="R263" s="2" t="s">
        <v>36</v>
      </c>
      <c r="S263" s="25">
        <f t="shared" si="241"/>
        <v>815316.89</v>
      </c>
      <c r="T263" s="25">
        <v>657481.98</v>
      </c>
      <c r="U263" s="25">
        <v>157834.91</v>
      </c>
      <c r="V263" s="25">
        <f t="shared" si="242"/>
        <v>155484.97999999998</v>
      </c>
      <c r="W263" s="25">
        <v>116026.31</v>
      </c>
      <c r="X263" s="25">
        <v>39458.67</v>
      </c>
      <c r="Y263" s="25">
        <f t="shared" si="247"/>
        <v>0</v>
      </c>
      <c r="Z263" s="25"/>
      <c r="AA263" s="25"/>
      <c r="AB263" s="25">
        <f t="shared" si="249"/>
        <v>19812.288</v>
      </c>
      <c r="AC263" s="25">
        <v>15785.897999999999</v>
      </c>
      <c r="AD263" s="25">
        <v>4026.39</v>
      </c>
      <c r="AE263" s="25">
        <f t="shared" si="245"/>
        <v>990614.15800000005</v>
      </c>
      <c r="AF263" s="25"/>
      <c r="AG263" s="25">
        <f t="shared" si="246"/>
        <v>990614.15800000005</v>
      </c>
      <c r="AH263" s="28" t="s">
        <v>627</v>
      </c>
      <c r="AI263" s="72" t="s">
        <v>187</v>
      </c>
      <c r="AJ263" s="29">
        <f>181405.8+121986.95</f>
        <v>303392.75</v>
      </c>
      <c r="AK263" s="29">
        <f>15703.63+42154.87</f>
        <v>57858.5</v>
      </c>
    </row>
    <row r="264" spans="1:37" ht="157.5" x14ac:dyDescent="0.25">
      <c r="A264" s="5">
        <v>258</v>
      </c>
      <c r="B264" s="67">
        <v>110839</v>
      </c>
      <c r="C264" s="144">
        <v>306</v>
      </c>
      <c r="D264" s="67" t="s">
        <v>168</v>
      </c>
      <c r="E264" s="13" t="s">
        <v>165</v>
      </c>
      <c r="F264" s="119" t="s">
        <v>357</v>
      </c>
      <c r="G264" s="56" t="s">
        <v>815</v>
      </c>
      <c r="H264" s="20" t="s">
        <v>816</v>
      </c>
      <c r="I264" s="13" t="s">
        <v>818</v>
      </c>
      <c r="J264" s="207" t="s">
        <v>817</v>
      </c>
      <c r="K264" s="104">
        <v>43292</v>
      </c>
      <c r="L264" s="8">
        <v>43779</v>
      </c>
      <c r="M264" s="4">
        <f t="shared" si="248"/>
        <v>82.304186579367027</v>
      </c>
      <c r="N264" s="2" t="s">
        <v>359</v>
      </c>
      <c r="O264" s="2" t="s">
        <v>819</v>
      </c>
      <c r="P264" s="2" t="s">
        <v>819</v>
      </c>
      <c r="Q264" s="23" t="s">
        <v>361</v>
      </c>
      <c r="R264" s="2" t="s">
        <v>36</v>
      </c>
      <c r="S264" s="25">
        <f t="shared" si="241"/>
        <v>800537.35</v>
      </c>
      <c r="T264" s="25">
        <v>645563.62</v>
      </c>
      <c r="U264" s="25">
        <v>154973.73000000001</v>
      </c>
      <c r="V264" s="25">
        <f t="shared" si="242"/>
        <v>152666.38</v>
      </c>
      <c r="W264" s="25">
        <v>113922.98</v>
      </c>
      <c r="X264" s="25">
        <v>38743.4</v>
      </c>
      <c r="Y264" s="25">
        <f t="shared" si="247"/>
        <v>0</v>
      </c>
      <c r="Z264" s="25"/>
      <c r="AA264" s="25"/>
      <c r="AB264" s="25">
        <f t="shared" si="249"/>
        <v>19453.170299999998</v>
      </c>
      <c r="AC264" s="25">
        <v>15499.741</v>
      </c>
      <c r="AD264" s="25">
        <v>3953.4292999999998</v>
      </c>
      <c r="AE264" s="25">
        <f t="shared" si="245"/>
        <v>972656.90029999998</v>
      </c>
      <c r="AF264" s="25"/>
      <c r="AG264" s="25">
        <f t="shared" si="246"/>
        <v>972656.90029999998</v>
      </c>
      <c r="AH264" s="28" t="s">
        <v>627</v>
      </c>
      <c r="AI264" s="72" t="s">
        <v>187</v>
      </c>
      <c r="AJ264" s="29">
        <f>97265.68-4932.42-9631.06</f>
        <v>82702.2</v>
      </c>
      <c r="AK264" s="29">
        <f>4932.42+9631.06</f>
        <v>14563.48</v>
      </c>
    </row>
    <row r="265" spans="1:37" ht="141.75" x14ac:dyDescent="0.25">
      <c r="A265" s="5">
        <v>259</v>
      </c>
      <c r="B265" s="67">
        <v>115895</v>
      </c>
      <c r="C265" s="144">
        <v>389</v>
      </c>
      <c r="D265" s="67" t="s">
        <v>176</v>
      </c>
      <c r="E265" s="235" t="s">
        <v>165</v>
      </c>
      <c r="F265" s="236" t="s">
        <v>484</v>
      </c>
      <c r="G265" s="56" t="s">
        <v>824</v>
      </c>
      <c r="H265" s="20" t="s">
        <v>825</v>
      </c>
      <c r="I265" s="13" t="s">
        <v>826</v>
      </c>
      <c r="J265" s="73" t="s">
        <v>827</v>
      </c>
      <c r="K265" s="104">
        <v>43293</v>
      </c>
      <c r="L265" s="8">
        <v>44085</v>
      </c>
      <c r="M265" s="4">
        <f t="shared" si="248"/>
        <v>83.983862876254179</v>
      </c>
      <c r="N265" s="2" t="s">
        <v>359</v>
      </c>
      <c r="O265" s="2" t="s">
        <v>347</v>
      </c>
      <c r="P265" s="2" t="s">
        <v>347</v>
      </c>
      <c r="Q265" s="23" t="s">
        <v>157</v>
      </c>
      <c r="R265" s="2" t="s">
        <v>36</v>
      </c>
      <c r="S265" s="25">
        <f t="shared" si="241"/>
        <v>2511117.5</v>
      </c>
      <c r="T265" s="25">
        <v>2024997.5</v>
      </c>
      <c r="U265" s="25">
        <v>486120</v>
      </c>
      <c r="V265" s="25">
        <f t="shared" si="242"/>
        <v>0</v>
      </c>
      <c r="W265" s="25"/>
      <c r="X265" s="25"/>
      <c r="Y265" s="25">
        <f t="shared" si="247"/>
        <v>478882.5</v>
      </c>
      <c r="Z265" s="25">
        <v>357352.51</v>
      </c>
      <c r="AA265" s="25">
        <v>121529.99</v>
      </c>
      <c r="AB265" s="25">
        <f t="shared" si="249"/>
        <v>0</v>
      </c>
      <c r="AC265" s="25"/>
      <c r="AD265" s="25"/>
      <c r="AE265" s="25">
        <f t="shared" si="245"/>
        <v>2990000</v>
      </c>
      <c r="AF265" s="25">
        <v>0</v>
      </c>
      <c r="AG265" s="25">
        <f t="shared" si="246"/>
        <v>2990000</v>
      </c>
      <c r="AH265" s="28" t="s">
        <v>627</v>
      </c>
      <c r="AI265" s="72" t="s">
        <v>459</v>
      </c>
      <c r="AJ265" s="29">
        <v>22377.18</v>
      </c>
      <c r="AK265" s="29">
        <v>0</v>
      </c>
    </row>
    <row r="266" spans="1:37" ht="299.25" x14ac:dyDescent="0.25">
      <c r="A266" s="2">
        <v>260</v>
      </c>
      <c r="B266" s="67">
        <v>111830</v>
      </c>
      <c r="C266" s="144">
        <v>377</v>
      </c>
      <c r="D266" s="67" t="s">
        <v>163</v>
      </c>
      <c r="E266" s="13" t="s">
        <v>1137</v>
      </c>
      <c r="F266" s="236" t="s">
        <v>678</v>
      </c>
      <c r="G266" s="56" t="s">
        <v>828</v>
      </c>
      <c r="H266" s="20" t="s">
        <v>829</v>
      </c>
      <c r="I266" s="13" t="s">
        <v>830</v>
      </c>
      <c r="J266" s="73" t="s">
        <v>831</v>
      </c>
      <c r="K266" s="104">
        <v>43297</v>
      </c>
      <c r="L266" s="8">
        <v>43785</v>
      </c>
      <c r="M266" s="4">
        <f t="shared" si="248"/>
        <v>83.143853391521404</v>
      </c>
      <c r="N266" s="2" t="s">
        <v>359</v>
      </c>
      <c r="O266" s="2" t="s">
        <v>347</v>
      </c>
      <c r="P266" s="2" t="s">
        <v>347</v>
      </c>
      <c r="Q266" s="23" t="s">
        <v>157</v>
      </c>
      <c r="R266" s="2" t="s">
        <v>36</v>
      </c>
      <c r="S266" s="25">
        <f t="shared" si="241"/>
        <v>5525318.4000000004</v>
      </c>
      <c r="T266" s="25">
        <v>4455687.92</v>
      </c>
      <c r="U266" s="25">
        <v>1069630.48</v>
      </c>
      <c r="V266" s="25">
        <f t="shared" si="242"/>
        <v>987264.15</v>
      </c>
      <c r="W266" s="25">
        <v>733359.16</v>
      </c>
      <c r="X266" s="25">
        <v>253904.99</v>
      </c>
      <c r="Y266" s="25">
        <f t="shared" si="247"/>
        <v>0</v>
      </c>
      <c r="Z266" s="25">
        <v>0</v>
      </c>
      <c r="AA266" s="25">
        <v>0</v>
      </c>
      <c r="AB266" s="25">
        <f t="shared" si="249"/>
        <v>132909.78</v>
      </c>
      <c r="AC266" s="25">
        <v>105898.92</v>
      </c>
      <c r="AD266" s="25">
        <v>27010.86</v>
      </c>
      <c r="AE266" s="25">
        <f t="shared" si="245"/>
        <v>6645492.330000001</v>
      </c>
      <c r="AF266" s="25">
        <v>0</v>
      </c>
      <c r="AG266" s="25">
        <f t="shared" si="246"/>
        <v>6645492.330000001</v>
      </c>
      <c r="AH266" s="28" t="s">
        <v>627</v>
      </c>
      <c r="AI266" s="72"/>
      <c r="AJ266" s="29">
        <f>548484.27-41743+295621.66</f>
        <v>802362.92999999993</v>
      </c>
      <c r="AK266" s="29">
        <f>41743.03+36457.11</f>
        <v>78200.14</v>
      </c>
    </row>
    <row r="267" spans="1:37" ht="236.25" x14ac:dyDescent="0.25">
      <c r="A267" s="5">
        <v>261</v>
      </c>
      <c r="B267" s="67">
        <v>115784</v>
      </c>
      <c r="C267" s="144">
        <v>388</v>
      </c>
      <c r="D267" s="67" t="s">
        <v>175</v>
      </c>
      <c r="E267" s="235" t="s">
        <v>165</v>
      </c>
      <c r="F267" s="236" t="s">
        <v>484</v>
      </c>
      <c r="G267" s="56" t="s">
        <v>832</v>
      </c>
      <c r="H267" s="20" t="s">
        <v>51</v>
      </c>
      <c r="I267" s="13" t="s">
        <v>385</v>
      </c>
      <c r="J267" s="73" t="s">
        <v>833</v>
      </c>
      <c r="K267" s="104">
        <v>43297</v>
      </c>
      <c r="L267" s="8">
        <v>44090</v>
      </c>
      <c r="M267" s="4">
        <f t="shared" si="248"/>
        <v>83.98386251542432</v>
      </c>
      <c r="N267" s="2" t="s">
        <v>359</v>
      </c>
      <c r="O267" s="2" t="s">
        <v>347</v>
      </c>
      <c r="P267" s="2" t="s">
        <v>347</v>
      </c>
      <c r="Q267" s="23" t="s">
        <v>157</v>
      </c>
      <c r="R267" s="2" t="s">
        <v>36</v>
      </c>
      <c r="S267" s="25">
        <f t="shared" ref="S267" si="250">T267+U267</f>
        <v>2474673.0699999998</v>
      </c>
      <c r="T267" s="25">
        <v>1995608.24</v>
      </c>
      <c r="U267" s="25">
        <v>479064.83</v>
      </c>
      <c r="V267" s="25">
        <f t="shared" ref="V267" si="251">W267+X267</f>
        <v>0</v>
      </c>
      <c r="W267" s="25"/>
      <c r="X267" s="25"/>
      <c r="Y267" s="25">
        <f t="shared" ref="Y267" si="252">Z267+AA267</f>
        <v>471932.38</v>
      </c>
      <c r="Z267" s="25">
        <v>352166.15</v>
      </c>
      <c r="AA267" s="25">
        <v>119766.23</v>
      </c>
      <c r="AB267" s="25">
        <f t="shared" ref="AB267" si="253">AC267+AD267</f>
        <v>0</v>
      </c>
      <c r="AC267" s="25"/>
      <c r="AD267" s="25"/>
      <c r="AE267" s="25">
        <f t="shared" ref="AE267" si="254">S267+V267+Y267+AB267</f>
        <v>2946605.4499999997</v>
      </c>
      <c r="AF267" s="25">
        <v>0</v>
      </c>
      <c r="AG267" s="25">
        <f t="shared" ref="AG267" si="255">AE267+AF267</f>
        <v>2946605.4499999997</v>
      </c>
      <c r="AH267" s="28" t="s">
        <v>627</v>
      </c>
      <c r="AI267" s="72" t="s">
        <v>459</v>
      </c>
      <c r="AJ267" s="29">
        <f>16075.53+34286.38</f>
        <v>50361.909999999996</v>
      </c>
      <c r="AK267" s="29">
        <v>0</v>
      </c>
    </row>
    <row r="268" spans="1:37" ht="141.75" x14ac:dyDescent="0.25">
      <c r="A268" s="5">
        <v>262</v>
      </c>
      <c r="B268" s="67">
        <v>109927</v>
      </c>
      <c r="C268" s="144">
        <v>334</v>
      </c>
      <c r="D268" s="67" t="s">
        <v>171</v>
      </c>
      <c r="E268" s="13" t="s">
        <v>165</v>
      </c>
      <c r="F268" s="119" t="s">
        <v>357</v>
      </c>
      <c r="G268" s="56" t="s">
        <v>834</v>
      </c>
      <c r="H268" s="20" t="s">
        <v>835</v>
      </c>
      <c r="I268" s="13" t="s">
        <v>385</v>
      </c>
      <c r="J268" s="73" t="s">
        <v>836</v>
      </c>
      <c r="K268" s="104">
        <v>43297</v>
      </c>
      <c r="L268" s="8">
        <v>43785</v>
      </c>
      <c r="M268" s="4">
        <f t="shared" si="248"/>
        <v>82.304185890830638</v>
      </c>
      <c r="N268" s="2" t="s">
        <v>359</v>
      </c>
      <c r="O268" s="2" t="s">
        <v>347</v>
      </c>
      <c r="P268" s="2" t="s">
        <v>347</v>
      </c>
      <c r="Q268" s="23" t="s">
        <v>157</v>
      </c>
      <c r="R268" s="2" t="s">
        <v>36</v>
      </c>
      <c r="S268" s="25">
        <f t="shared" si="241"/>
        <v>793991.64999999991</v>
      </c>
      <c r="T268" s="25">
        <v>640285.07999999996</v>
      </c>
      <c r="U268" s="25">
        <v>153706.57</v>
      </c>
      <c r="V268" s="25">
        <f t="shared" si="242"/>
        <v>151418.12</v>
      </c>
      <c r="W268" s="25">
        <v>112991.49</v>
      </c>
      <c r="X268" s="25">
        <v>38426.629999999997</v>
      </c>
      <c r="Y268" s="25">
        <f t="shared" si="247"/>
        <v>0</v>
      </c>
      <c r="Z268" s="25"/>
      <c r="AA268" s="25"/>
      <c r="AB268" s="25">
        <f t="shared" si="249"/>
        <v>19294.080000000002</v>
      </c>
      <c r="AC268" s="25">
        <v>15373</v>
      </c>
      <c r="AD268" s="25">
        <v>3921.08</v>
      </c>
      <c r="AE268" s="25">
        <f t="shared" si="245"/>
        <v>964703.84999999986</v>
      </c>
      <c r="AF268" s="25">
        <v>0</v>
      </c>
      <c r="AG268" s="25">
        <f t="shared" si="246"/>
        <v>964703.84999999986</v>
      </c>
      <c r="AH268" s="28" t="s">
        <v>627</v>
      </c>
      <c r="AI268" s="72" t="s">
        <v>459</v>
      </c>
      <c r="AJ268" s="29">
        <f>96470.38-14469.9+90345.75</f>
        <v>172346.23</v>
      </c>
      <c r="AK268" s="29">
        <v>14469.9</v>
      </c>
    </row>
    <row r="269" spans="1:37" ht="141.75" x14ac:dyDescent="0.25">
      <c r="A269" s="2">
        <v>263</v>
      </c>
      <c r="B269" s="67">
        <v>111446</v>
      </c>
      <c r="C269" s="144">
        <v>161</v>
      </c>
      <c r="D269" s="67" t="s">
        <v>689</v>
      </c>
      <c r="E269" s="13" t="s">
        <v>165</v>
      </c>
      <c r="F269" s="119" t="s">
        <v>357</v>
      </c>
      <c r="G269" s="56" t="s">
        <v>837</v>
      </c>
      <c r="H269" s="20" t="s">
        <v>838</v>
      </c>
      <c r="I269" s="13" t="s">
        <v>385</v>
      </c>
      <c r="J269" s="73" t="s">
        <v>839</v>
      </c>
      <c r="K269" s="104">
        <v>43297</v>
      </c>
      <c r="L269" s="8">
        <v>43785</v>
      </c>
      <c r="M269" s="4">
        <f t="shared" si="248"/>
        <v>82.304180439174772</v>
      </c>
      <c r="N269" s="2" t="s">
        <v>359</v>
      </c>
      <c r="O269" s="2" t="s">
        <v>347</v>
      </c>
      <c r="P269" s="2" t="s">
        <v>347</v>
      </c>
      <c r="Q269" s="23" t="s">
        <v>361</v>
      </c>
      <c r="R269" s="2" t="s">
        <v>36</v>
      </c>
      <c r="S269" s="25">
        <f t="shared" si="241"/>
        <v>820476.63</v>
      </c>
      <c r="T269" s="25">
        <v>661642.92000000004</v>
      </c>
      <c r="U269" s="25">
        <v>158833.71</v>
      </c>
      <c r="V269" s="25">
        <f t="shared" si="242"/>
        <v>156469</v>
      </c>
      <c r="W269" s="25">
        <v>116760.53</v>
      </c>
      <c r="X269" s="25">
        <v>39708.47</v>
      </c>
      <c r="Y269" s="25">
        <f t="shared" si="247"/>
        <v>0</v>
      </c>
      <c r="Z269" s="25"/>
      <c r="AA269" s="25"/>
      <c r="AB269" s="25">
        <f t="shared" si="249"/>
        <v>19937.669999999998</v>
      </c>
      <c r="AC269" s="25">
        <v>15885.81</v>
      </c>
      <c r="AD269" s="25">
        <v>4051.86</v>
      </c>
      <c r="AE269" s="25">
        <f t="shared" si="245"/>
        <v>996883.3</v>
      </c>
      <c r="AF269" s="25"/>
      <c r="AG269" s="25">
        <f t="shared" si="246"/>
        <v>996883.3</v>
      </c>
      <c r="AH269" s="28" t="s">
        <v>627</v>
      </c>
      <c r="AI269" s="72" t="s">
        <v>385</v>
      </c>
      <c r="AJ269" s="29">
        <v>172463.58</v>
      </c>
      <c r="AK269" s="29">
        <f>13878.6</f>
        <v>13878.6</v>
      </c>
    </row>
    <row r="270" spans="1:37" ht="141.75" x14ac:dyDescent="0.25">
      <c r="A270" s="5">
        <v>264</v>
      </c>
      <c r="B270" s="67">
        <v>111890</v>
      </c>
      <c r="C270" s="144">
        <v>249</v>
      </c>
      <c r="D270" s="67" t="s">
        <v>171</v>
      </c>
      <c r="E270" s="13" t="s">
        <v>165</v>
      </c>
      <c r="F270" s="119" t="s">
        <v>357</v>
      </c>
      <c r="G270" s="56" t="s">
        <v>861</v>
      </c>
      <c r="H270" s="20" t="s">
        <v>862</v>
      </c>
      <c r="I270" s="13" t="s">
        <v>863</v>
      </c>
      <c r="J270" s="244" t="s">
        <v>864</v>
      </c>
      <c r="K270" s="104">
        <v>43301</v>
      </c>
      <c r="L270" s="8">
        <v>43789</v>
      </c>
      <c r="M270" s="4">
        <f t="shared" si="248"/>
        <v>82.304182965305657</v>
      </c>
      <c r="N270" s="2" t="s">
        <v>359</v>
      </c>
      <c r="O270" s="2" t="s">
        <v>865</v>
      </c>
      <c r="P270" s="2" t="s">
        <v>865</v>
      </c>
      <c r="Q270" s="23" t="s">
        <v>361</v>
      </c>
      <c r="R270" s="2" t="s">
        <v>36</v>
      </c>
      <c r="S270" s="25">
        <f t="shared" si="241"/>
        <v>729698.45</v>
      </c>
      <c r="T270" s="25">
        <v>588438.23</v>
      </c>
      <c r="U270" s="25">
        <v>141260.22</v>
      </c>
      <c r="V270" s="25">
        <f t="shared" si="242"/>
        <v>139157.12</v>
      </c>
      <c r="W270" s="25">
        <v>103842.05</v>
      </c>
      <c r="X270" s="25">
        <v>35315.07</v>
      </c>
      <c r="Y270" s="25">
        <f>Z270+AA270</f>
        <v>0</v>
      </c>
      <c r="Z270" s="25"/>
      <c r="AA270" s="25"/>
      <c r="AB270" s="25">
        <f>AC270+AD270</f>
        <v>17731.75</v>
      </c>
      <c r="AC270" s="25">
        <v>14128.18</v>
      </c>
      <c r="AD270" s="25">
        <v>3603.57</v>
      </c>
      <c r="AE270" s="25">
        <f t="shared" si="245"/>
        <v>886587.32</v>
      </c>
      <c r="AF270" s="25">
        <v>0</v>
      </c>
      <c r="AG270" s="25">
        <f t="shared" si="246"/>
        <v>886587.32</v>
      </c>
      <c r="AH270" s="28" t="s">
        <v>627</v>
      </c>
      <c r="AI270" s="72" t="s">
        <v>385</v>
      </c>
      <c r="AJ270" s="29">
        <f>88658.73-1983.5-12014.52</f>
        <v>74660.709999999992</v>
      </c>
      <c r="AK270" s="29">
        <v>14022.63</v>
      </c>
    </row>
    <row r="271" spans="1:37" ht="236.25" x14ac:dyDescent="0.25">
      <c r="A271" s="5">
        <v>265</v>
      </c>
      <c r="B271" s="67">
        <v>119429</v>
      </c>
      <c r="C271" s="144">
        <v>472</v>
      </c>
      <c r="D271" s="67" t="s">
        <v>175</v>
      </c>
      <c r="E271" s="13" t="s">
        <v>1093</v>
      </c>
      <c r="F271" s="119" t="s">
        <v>584</v>
      </c>
      <c r="G271" s="20" t="s">
        <v>872</v>
      </c>
      <c r="H271" s="20" t="s">
        <v>1179</v>
      </c>
      <c r="I271" s="13" t="s">
        <v>459</v>
      </c>
      <c r="J271" s="73" t="s">
        <v>873</v>
      </c>
      <c r="K271" s="104">
        <v>43304</v>
      </c>
      <c r="L271" s="8">
        <v>43669</v>
      </c>
      <c r="M271" s="4">
        <f t="shared" si="248"/>
        <v>85.000001381242228</v>
      </c>
      <c r="N271" s="2">
        <v>6</v>
      </c>
      <c r="O271" s="2" t="s">
        <v>871</v>
      </c>
      <c r="P271" s="2" t="s">
        <v>870</v>
      </c>
      <c r="Q271" s="23" t="s">
        <v>216</v>
      </c>
      <c r="R271" s="2" t="s">
        <v>588</v>
      </c>
      <c r="S271" s="25">
        <f t="shared" si="241"/>
        <v>215385.83</v>
      </c>
      <c r="T271" s="25">
        <v>215385.83</v>
      </c>
      <c r="U271" s="25">
        <v>0</v>
      </c>
      <c r="V271" s="25">
        <f t="shared" si="242"/>
        <v>32941.35</v>
      </c>
      <c r="W271" s="25">
        <v>32941.35</v>
      </c>
      <c r="X271" s="25">
        <v>0</v>
      </c>
      <c r="Y271" s="25">
        <f t="shared" si="247"/>
        <v>5067.91</v>
      </c>
      <c r="Z271" s="25">
        <v>5067.91</v>
      </c>
      <c r="AA271" s="25">
        <v>0</v>
      </c>
      <c r="AB271" s="25">
        <f t="shared" si="249"/>
        <v>0</v>
      </c>
      <c r="AC271" s="25">
        <v>0</v>
      </c>
      <c r="AD271" s="25">
        <v>0</v>
      </c>
      <c r="AE271" s="25">
        <f t="shared" si="245"/>
        <v>253395.09</v>
      </c>
      <c r="AF271" s="25"/>
      <c r="AG271" s="25">
        <f t="shared" si="246"/>
        <v>253395.09</v>
      </c>
      <c r="AH271" s="28" t="s">
        <v>627</v>
      </c>
      <c r="AI271" s="72"/>
      <c r="AJ271" s="39">
        <v>9089.0499999999993</v>
      </c>
      <c r="AK271" s="29">
        <v>1390.09</v>
      </c>
    </row>
    <row r="272" spans="1:37" ht="409.5" x14ac:dyDescent="0.25">
      <c r="A272" s="2">
        <v>266</v>
      </c>
      <c r="B272" s="67">
        <v>116294</v>
      </c>
      <c r="C272" s="144">
        <v>395</v>
      </c>
      <c r="D272" s="67" t="s">
        <v>177</v>
      </c>
      <c r="E272" s="235" t="s">
        <v>165</v>
      </c>
      <c r="F272" s="119" t="s">
        <v>484</v>
      </c>
      <c r="G272" s="20" t="s">
        <v>886</v>
      </c>
      <c r="H272" s="20" t="s">
        <v>885</v>
      </c>
      <c r="I272" s="13" t="s">
        <v>888</v>
      </c>
      <c r="J272" s="73" t="s">
        <v>887</v>
      </c>
      <c r="K272" s="104">
        <v>43307</v>
      </c>
      <c r="L272" s="8">
        <v>44100</v>
      </c>
      <c r="M272" s="4">
        <f t="shared" si="248"/>
        <v>83.983862768208695</v>
      </c>
      <c r="N272" s="2" t="s">
        <v>359</v>
      </c>
      <c r="O272" s="2" t="s">
        <v>156</v>
      </c>
      <c r="P272" s="2" t="s">
        <v>156</v>
      </c>
      <c r="Q272" s="23" t="s">
        <v>157</v>
      </c>
      <c r="R272" s="2" t="s">
        <v>36</v>
      </c>
      <c r="S272" s="25">
        <f t="shared" si="241"/>
        <v>10337095.59</v>
      </c>
      <c r="T272" s="25">
        <v>8335966.9800000004</v>
      </c>
      <c r="U272" s="25">
        <v>2001128.61</v>
      </c>
      <c r="V272" s="25">
        <f t="shared" si="242"/>
        <v>861007.51</v>
      </c>
      <c r="W272" s="25">
        <v>636291.80000000005</v>
      </c>
      <c r="X272" s="25">
        <v>224715.71</v>
      </c>
      <c r="Y272" s="25">
        <f t="shared" si="247"/>
        <v>1110327.6499999999</v>
      </c>
      <c r="Z272" s="25">
        <v>834761.2</v>
      </c>
      <c r="AA272" s="25">
        <v>275566.45</v>
      </c>
      <c r="AB272" s="25">
        <f t="shared" si="249"/>
        <v>0</v>
      </c>
      <c r="AC272" s="25">
        <v>0</v>
      </c>
      <c r="AD272" s="25">
        <v>0</v>
      </c>
      <c r="AE272" s="25">
        <f t="shared" si="245"/>
        <v>12308430.75</v>
      </c>
      <c r="AF272" s="25"/>
      <c r="AG272" s="25">
        <f t="shared" si="246"/>
        <v>12308430.75</v>
      </c>
      <c r="AH272" s="28" t="s">
        <v>627</v>
      </c>
      <c r="AI272" s="72"/>
      <c r="AJ272" s="29">
        <v>310000</v>
      </c>
      <c r="AK272" s="29">
        <v>0</v>
      </c>
    </row>
    <row r="273" spans="1:37" ht="204.75" x14ac:dyDescent="0.25">
      <c r="A273" s="5">
        <v>267</v>
      </c>
      <c r="B273" s="67">
        <v>113123</v>
      </c>
      <c r="C273" s="144">
        <v>217</v>
      </c>
      <c r="D273" s="67" t="s">
        <v>173</v>
      </c>
      <c r="E273" s="13" t="s">
        <v>165</v>
      </c>
      <c r="F273" s="119" t="s">
        <v>357</v>
      </c>
      <c r="G273" s="20" t="s">
        <v>896</v>
      </c>
      <c r="H273" s="20" t="s">
        <v>897</v>
      </c>
      <c r="I273" s="13" t="s">
        <v>459</v>
      </c>
      <c r="J273" s="73" t="s">
        <v>898</v>
      </c>
      <c r="K273" s="104">
        <v>43312</v>
      </c>
      <c r="L273" s="104">
        <v>43738</v>
      </c>
      <c r="M273" s="4">
        <f t="shared" si="248"/>
        <v>82.304185679258694</v>
      </c>
      <c r="N273" s="2" t="s">
        <v>359</v>
      </c>
      <c r="O273" s="2" t="s">
        <v>156</v>
      </c>
      <c r="P273" s="2" t="s">
        <v>156</v>
      </c>
      <c r="Q273" s="23" t="s">
        <v>361</v>
      </c>
      <c r="R273" s="2" t="s">
        <v>36</v>
      </c>
      <c r="S273" s="25">
        <f t="shared" si="241"/>
        <v>504461.06999999995</v>
      </c>
      <c r="T273" s="25">
        <v>406803.92</v>
      </c>
      <c r="U273" s="25">
        <v>97657.15</v>
      </c>
      <c r="V273" s="25">
        <f t="shared" si="242"/>
        <v>96203.24</v>
      </c>
      <c r="W273" s="25">
        <v>71788.94</v>
      </c>
      <c r="X273" s="25">
        <v>24414.3</v>
      </c>
      <c r="Y273" s="25">
        <f t="shared" si="247"/>
        <v>0</v>
      </c>
      <c r="Z273" s="25">
        <v>0</v>
      </c>
      <c r="AA273" s="25">
        <v>0</v>
      </c>
      <c r="AB273" s="25">
        <f t="shared" si="249"/>
        <v>12258.43</v>
      </c>
      <c r="AC273" s="25">
        <v>9767.16</v>
      </c>
      <c r="AD273" s="25">
        <v>2491.27</v>
      </c>
      <c r="AE273" s="25">
        <f t="shared" si="245"/>
        <v>612922.74</v>
      </c>
      <c r="AF273" s="25"/>
      <c r="AG273" s="25">
        <f t="shared" si="246"/>
        <v>612922.74</v>
      </c>
      <c r="AH273" s="28" t="s">
        <v>627</v>
      </c>
      <c r="AI273" s="72"/>
      <c r="AJ273" s="29">
        <f>61292.27-7748.65+48380.24</f>
        <v>101923.85999999999</v>
      </c>
      <c r="AK273" s="29">
        <v>7748.65</v>
      </c>
    </row>
    <row r="274" spans="1:37" ht="141.75" x14ac:dyDescent="0.25">
      <c r="A274" s="5">
        <v>268</v>
      </c>
      <c r="B274" s="67">
        <v>112769</v>
      </c>
      <c r="C274" s="144">
        <v>154</v>
      </c>
      <c r="D274" s="67" t="s">
        <v>689</v>
      </c>
      <c r="E274" s="13" t="s">
        <v>165</v>
      </c>
      <c r="F274" s="119" t="s">
        <v>357</v>
      </c>
      <c r="G274" s="20" t="s">
        <v>911</v>
      </c>
      <c r="H274" s="20" t="s">
        <v>912</v>
      </c>
      <c r="I274" s="13" t="s">
        <v>913</v>
      </c>
      <c r="J274" s="73" t="s">
        <v>914</v>
      </c>
      <c r="K274" s="104">
        <v>43312</v>
      </c>
      <c r="L274" s="8">
        <v>43738</v>
      </c>
      <c r="M274" s="4">
        <f t="shared" si="248"/>
        <v>82.304193908401487</v>
      </c>
      <c r="N274" s="2" t="s">
        <v>359</v>
      </c>
      <c r="O274" s="2" t="s">
        <v>156</v>
      </c>
      <c r="P274" s="2" t="s">
        <v>156</v>
      </c>
      <c r="Q274" s="23" t="s">
        <v>361</v>
      </c>
      <c r="R274" s="2" t="s">
        <v>36</v>
      </c>
      <c r="S274" s="25">
        <f t="shared" si="241"/>
        <v>810553.29</v>
      </c>
      <c r="T274" s="25">
        <v>653640.61</v>
      </c>
      <c r="U274" s="25">
        <v>156912.68</v>
      </c>
      <c r="V274" s="25">
        <f t="shared" si="242"/>
        <v>154576.41999999998</v>
      </c>
      <c r="W274" s="25">
        <v>115348.29</v>
      </c>
      <c r="X274" s="25">
        <v>39228.129999999997</v>
      </c>
      <c r="Y274" s="25">
        <f t="shared" si="247"/>
        <v>0</v>
      </c>
      <c r="Z274" s="25"/>
      <c r="AA274" s="25"/>
      <c r="AB274" s="25">
        <f t="shared" si="249"/>
        <v>19696.52</v>
      </c>
      <c r="AC274" s="25">
        <v>15693.62</v>
      </c>
      <c r="AD274" s="25">
        <v>4002.9</v>
      </c>
      <c r="AE274" s="25">
        <f t="shared" si="245"/>
        <v>984826.23</v>
      </c>
      <c r="AF274" s="25"/>
      <c r="AG274" s="25">
        <f t="shared" si="246"/>
        <v>984826.23</v>
      </c>
      <c r="AH274" s="28" t="s">
        <v>627</v>
      </c>
      <c r="AI274" s="72" t="s">
        <v>187</v>
      </c>
      <c r="AJ274" s="29">
        <f>98482.62-15061.09+94056.93</f>
        <v>177478.46</v>
      </c>
      <c r="AK274" s="29">
        <f>15061.09+3.81</f>
        <v>15064.9</v>
      </c>
    </row>
    <row r="275" spans="1:37" ht="162.75" customHeight="1" x14ac:dyDescent="0.25">
      <c r="A275" s="2">
        <v>269</v>
      </c>
      <c r="B275" s="67">
        <v>118824</v>
      </c>
      <c r="C275" s="144">
        <v>451</v>
      </c>
      <c r="D275" s="67" t="s">
        <v>168</v>
      </c>
      <c r="E275" s="13" t="s">
        <v>1136</v>
      </c>
      <c r="F275" s="135" t="s">
        <v>673</v>
      </c>
      <c r="G275" s="83" t="s">
        <v>917</v>
      </c>
      <c r="H275" s="84" t="s">
        <v>918</v>
      </c>
      <c r="I275" s="13" t="s">
        <v>919</v>
      </c>
      <c r="J275" s="207" t="s">
        <v>1087</v>
      </c>
      <c r="K275" s="104">
        <v>43311</v>
      </c>
      <c r="L275" s="8">
        <v>43860</v>
      </c>
      <c r="M275" s="4">
        <f t="shared" si="248"/>
        <v>83.245543779056959</v>
      </c>
      <c r="N275" s="2" t="s">
        <v>359</v>
      </c>
      <c r="O275" s="2" t="s">
        <v>156</v>
      </c>
      <c r="P275" s="90" t="s">
        <v>156</v>
      </c>
      <c r="Q275" s="23" t="s">
        <v>157</v>
      </c>
      <c r="R275" s="2" t="s">
        <v>36</v>
      </c>
      <c r="S275" s="25">
        <f t="shared" si="241"/>
        <v>3071406.9800000004</v>
      </c>
      <c r="T275" s="25">
        <v>2476821.9900000002</v>
      </c>
      <c r="U275" s="25">
        <v>594584.99</v>
      </c>
      <c r="V275" s="25">
        <f t="shared" si="242"/>
        <v>254554.22000000003</v>
      </c>
      <c r="W275" s="25">
        <v>189953.89</v>
      </c>
      <c r="X275" s="25">
        <v>64600.33</v>
      </c>
      <c r="Y275" s="25">
        <f t="shared" si="247"/>
        <v>331178.11</v>
      </c>
      <c r="Z275" s="25">
        <v>247132.37</v>
      </c>
      <c r="AA275" s="25">
        <v>84045.74</v>
      </c>
      <c r="AB275" s="25">
        <f t="shared" si="249"/>
        <v>32435.940000000002</v>
      </c>
      <c r="AC275" s="25">
        <v>25844.11</v>
      </c>
      <c r="AD275" s="25">
        <v>6591.83</v>
      </c>
      <c r="AE275" s="25">
        <f t="shared" si="245"/>
        <v>3689575.2500000005</v>
      </c>
      <c r="AF275" s="25"/>
      <c r="AG275" s="25">
        <f t="shared" si="246"/>
        <v>3689575.2500000005</v>
      </c>
      <c r="AH275" s="30" t="s">
        <v>920</v>
      </c>
      <c r="AI275" s="72"/>
      <c r="AJ275" s="29">
        <f>162179.72+66847.3+174727.59</f>
        <v>403754.61</v>
      </c>
      <c r="AK275" s="29">
        <v>12748.1</v>
      </c>
    </row>
    <row r="276" spans="1:37" ht="173.25" x14ac:dyDescent="0.25">
      <c r="A276" s="5">
        <v>270</v>
      </c>
      <c r="B276" s="67">
        <v>113009</v>
      </c>
      <c r="C276" s="144">
        <v>296</v>
      </c>
      <c r="D276" s="67" t="s">
        <v>689</v>
      </c>
      <c r="E276" s="13" t="s">
        <v>165</v>
      </c>
      <c r="F276" s="119" t="s">
        <v>357</v>
      </c>
      <c r="G276" s="56" t="s">
        <v>927</v>
      </c>
      <c r="H276" s="20" t="s">
        <v>928</v>
      </c>
      <c r="I276" s="13" t="s">
        <v>929</v>
      </c>
      <c r="J276" s="73" t="s">
        <v>930</v>
      </c>
      <c r="K276" s="104">
        <v>43318</v>
      </c>
      <c r="L276" s="8">
        <v>43682</v>
      </c>
      <c r="M276" s="4">
        <f t="shared" si="248"/>
        <v>82.304184738955826</v>
      </c>
      <c r="N276" s="2" t="s">
        <v>359</v>
      </c>
      <c r="O276" s="2" t="s">
        <v>931</v>
      </c>
      <c r="P276" s="2" t="s">
        <v>932</v>
      </c>
      <c r="Q276" s="23" t="s">
        <v>361</v>
      </c>
      <c r="R276" s="2" t="s">
        <v>36</v>
      </c>
      <c r="S276" s="25">
        <f t="shared" si="241"/>
        <v>819749.67999999993</v>
      </c>
      <c r="T276" s="25">
        <v>661056.71</v>
      </c>
      <c r="U276" s="25">
        <v>158692.97</v>
      </c>
      <c r="V276" s="25">
        <f t="shared" si="242"/>
        <v>156330.31</v>
      </c>
      <c r="W276" s="25">
        <v>116657.06</v>
      </c>
      <c r="X276" s="25">
        <v>39673.25</v>
      </c>
      <c r="Y276" s="25">
        <f t="shared" si="247"/>
        <v>0</v>
      </c>
      <c r="Z276" s="25"/>
      <c r="AA276" s="25"/>
      <c r="AB276" s="25">
        <f t="shared" si="249"/>
        <v>19920.010000000002</v>
      </c>
      <c r="AC276" s="25">
        <v>15871.7</v>
      </c>
      <c r="AD276" s="25">
        <v>4048.31</v>
      </c>
      <c r="AE276" s="25">
        <f t="shared" si="245"/>
        <v>996000</v>
      </c>
      <c r="AF276" s="25"/>
      <c r="AG276" s="25">
        <f t="shared" si="246"/>
        <v>996000</v>
      </c>
      <c r="AH276" s="30" t="s">
        <v>920</v>
      </c>
      <c r="AI276" s="72"/>
      <c r="AJ276" s="29">
        <v>11711.89</v>
      </c>
      <c r="AK276" s="29">
        <v>2233.5100000000002</v>
      </c>
    </row>
    <row r="277" spans="1:37" ht="141.75" x14ac:dyDescent="0.25">
      <c r="A277" s="5">
        <v>271</v>
      </c>
      <c r="B277" s="67">
        <v>112982</v>
      </c>
      <c r="C277" s="144">
        <v>297</v>
      </c>
      <c r="D277" s="67" t="s">
        <v>689</v>
      </c>
      <c r="E277" s="13" t="s">
        <v>165</v>
      </c>
      <c r="F277" s="119" t="s">
        <v>357</v>
      </c>
      <c r="G277" s="56" t="s">
        <v>933</v>
      </c>
      <c r="H277" s="20" t="s">
        <v>934</v>
      </c>
      <c r="I277" s="13" t="s">
        <v>935</v>
      </c>
      <c r="J277" s="73" t="s">
        <v>936</v>
      </c>
      <c r="K277" s="104">
        <v>43318</v>
      </c>
      <c r="L277" s="8">
        <v>43682</v>
      </c>
      <c r="M277" s="4">
        <f t="shared" si="248"/>
        <v>82.304142421748935</v>
      </c>
      <c r="N277" s="2" t="s">
        <v>359</v>
      </c>
      <c r="O277" s="2" t="s">
        <v>902</v>
      </c>
      <c r="P277" s="2" t="s">
        <v>937</v>
      </c>
      <c r="Q277" s="23" t="s">
        <v>361</v>
      </c>
      <c r="R277" s="2" t="s">
        <v>36</v>
      </c>
      <c r="S277" s="25">
        <f t="shared" si="241"/>
        <v>819220.94</v>
      </c>
      <c r="T277" s="25">
        <f>660630.63-0.29</f>
        <v>660630.34</v>
      </c>
      <c r="U277" s="25">
        <f>158590.68-0.08</f>
        <v>158590.6</v>
      </c>
      <c r="V277" s="25">
        <f t="shared" si="242"/>
        <v>156229.57</v>
      </c>
      <c r="W277" s="25">
        <f>116581.9-0.05</f>
        <v>116581.84999999999</v>
      </c>
      <c r="X277" s="25">
        <f>39647.73-0.01</f>
        <v>39647.72</v>
      </c>
      <c r="Y277" s="25">
        <f t="shared" si="247"/>
        <v>0</v>
      </c>
      <c r="Z277" s="25"/>
      <c r="AA277" s="25"/>
      <c r="AB277" s="25">
        <f t="shared" si="249"/>
        <v>19907.580000000002</v>
      </c>
      <c r="AC277" s="25">
        <f>15861.49+0.34</f>
        <v>15861.83</v>
      </c>
      <c r="AD277" s="25">
        <f>4045.66+0.09</f>
        <v>4045.75</v>
      </c>
      <c r="AE277" s="25">
        <f t="shared" si="245"/>
        <v>995358.09</v>
      </c>
      <c r="AF277" s="25"/>
      <c r="AG277" s="25">
        <f t="shared" si="246"/>
        <v>995358.09</v>
      </c>
      <c r="AH277" s="30" t="s">
        <v>920</v>
      </c>
      <c r="AI277" s="72"/>
      <c r="AJ277" s="29">
        <f>165765.11+56722.24+28008.96</f>
        <v>250496.30999999997</v>
      </c>
      <c r="AK277" s="29">
        <f>14377.08+10817.21+22576.59</f>
        <v>47770.880000000005</v>
      </c>
    </row>
    <row r="278" spans="1:37" ht="189" x14ac:dyDescent="0.25">
      <c r="A278" s="2">
        <v>272</v>
      </c>
      <c r="B278" s="67">
        <v>110476</v>
      </c>
      <c r="C278" s="144">
        <v>203</v>
      </c>
      <c r="D278" s="67" t="s">
        <v>173</v>
      </c>
      <c r="E278" s="13" t="s">
        <v>165</v>
      </c>
      <c r="F278" s="119" t="s">
        <v>357</v>
      </c>
      <c r="G278" s="56" t="s">
        <v>952</v>
      </c>
      <c r="H278" s="20" t="s">
        <v>951</v>
      </c>
      <c r="I278" s="13" t="s">
        <v>953</v>
      </c>
      <c r="J278" s="73" t="s">
        <v>954</v>
      </c>
      <c r="K278" s="104">
        <v>43321</v>
      </c>
      <c r="L278" s="8">
        <v>43808</v>
      </c>
      <c r="M278" s="4">
        <f t="shared" si="248"/>
        <v>82.304182202889237</v>
      </c>
      <c r="N278" s="2" t="s">
        <v>359</v>
      </c>
      <c r="O278" s="2" t="s">
        <v>381</v>
      </c>
      <c r="P278" s="2" t="s">
        <v>381</v>
      </c>
      <c r="Q278" s="23" t="s">
        <v>361</v>
      </c>
      <c r="R278" s="2" t="s">
        <v>36</v>
      </c>
      <c r="S278" s="25">
        <f t="shared" si="241"/>
        <v>792472.45</v>
      </c>
      <c r="T278" s="25">
        <v>639059.98</v>
      </c>
      <c r="U278" s="25">
        <v>153412.47</v>
      </c>
      <c r="V278" s="25">
        <f t="shared" si="242"/>
        <v>151128.42799999999</v>
      </c>
      <c r="W278" s="25">
        <v>112775.29</v>
      </c>
      <c r="X278" s="25">
        <v>38353.137999999999</v>
      </c>
      <c r="Y278" s="25">
        <f t="shared" si="247"/>
        <v>0</v>
      </c>
      <c r="Z278" s="25">
        <v>0</v>
      </c>
      <c r="AA278" s="25">
        <v>0</v>
      </c>
      <c r="AB278" s="25">
        <f t="shared" si="249"/>
        <v>19257.179499999998</v>
      </c>
      <c r="AC278" s="25">
        <v>15343.618</v>
      </c>
      <c r="AD278" s="25">
        <v>3913.5614999999998</v>
      </c>
      <c r="AE278" s="25">
        <f t="shared" si="245"/>
        <v>962858.05749999988</v>
      </c>
      <c r="AF278" s="25"/>
      <c r="AG278" s="25">
        <f t="shared" si="246"/>
        <v>962858.05749999988</v>
      </c>
      <c r="AH278" s="30" t="s">
        <v>920</v>
      </c>
      <c r="AI278" s="72"/>
      <c r="AJ278" s="29">
        <v>96285.8</v>
      </c>
      <c r="AK278" s="29">
        <v>0</v>
      </c>
    </row>
    <row r="279" spans="1:37" ht="141.75" x14ac:dyDescent="0.25">
      <c r="A279" s="5">
        <v>273</v>
      </c>
      <c r="B279" s="67">
        <v>111413</v>
      </c>
      <c r="C279" s="144">
        <v>245</v>
      </c>
      <c r="D279" s="67" t="s">
        <v>171</v>
      </c>
      <c r="E279" s="13" t="s">
        <v>165</v>
      </c>
      <c r="F279" s="119" t="s">
        <v>357</v>
      </c>
      <c r="G279" s="56" t="s">
        <v>960</v>
      </c>
      <c r="H279" s="20" t="s">
        <v>961</v>
      </c>
      <c r="I279" s="13" t="s">
        <v>962</v>
      </c>
      <c r="J279" s="73" t="s">
        <v>963</v>
      </c>
      <c r="K279" s="104">
        <v>43325</v>
      </c>
      <c r="L279" s="8">
        <v>43812</v>
      </c>
      <c r="M279" s="4">
        <f t="shared" si="248"/>
        <v>82.510189524515496</v>
      </c>
      <c r="N279" s="2" t="s">
        <v>359</v>
      </c>
      <c r="O279" s="2" t="s">
        <v>347</v>
      </c>
      <c r="P279" s="2" t="s">
        <v>347</v>
      </c>
      <c r="Q279" s="23" t="s">
        <v>361</v>
      </c>
      <c r="R279" s="2" t="s">
        <v>36</v>
      </c>
      <c r="S279" s="25">
        <f t="shared" si="241"/>
        <v>805149.57</v>
      </c>
      <c r="T279" s="25">
        <v>649282.97</v>
      </c>
      <c r="U279" s="25">
        <v>155866.6</v>
      </c>
      <c r="V279" s="25">
        <f t="shared" si="242"/>
        <v>134378</v>
      </c>
      <c r="W279" s="25">
        <v>100275.78</v>
      </c>
      <c r="X279" s="25">
        <v>34102.22</v>
      </c>
      <c r="Y279" s="25">
        <f t="shared" si="247"/>
        <v>19168</v>
      </c>
      <c r="Z279" s="25">
        <v>14303.59</v>
      </c>
      <c r="AA279" s="25">
        <v>4864.41</v>
      </c>
      <c r="AB279" s="25">
        <f t="shared" si="249"/>
        <v>17122.78</v>
      </c>
      <c r="AC279" s="25">
        <v>13642.95</v>
      </c>
      <c r="AD279" s="25">
        <v>3479.83</v>
      </c>
      <c r="AE279" s="25">
        <f t="shared" si="245"/>
        <v>975818.35</v>
      </c>
      <c r="AF279" s="25">
        <v>0</v>
      </c>
      <c r="AG279" s="25">
        <f t="shared" si="246"/>
        <v>975818.35</v>
      </c>
      <c r="AH279" s="30" t="s">
        <v>920</v>
      </c>
      <c r="AI279" s="72" t="s">
        <v>385</v>
      </c>
      <c r="AJ279" s="29">
        <f>85600-10278.92+91440.93</f>
        <v>166762.01</v>
      </c>
      <c r="AK279" s="29">
        <f>10278.92+5199.07</f>
        <v>15477.99</v>
      </c>
    </row>
    <row r="280" spans="1:37" ht="288.60000000000002" customHeight="1" x14ac:dyDescent="0.25">
      <c r="A280" s="5">
        <v>274</v>
      </c>
      <c r="B280" s="67">
        <v>112299</v>
      </c>
      <c r="C280" s="144">
        <v>370</v>
      </c>
      <c r="D280" s="67" t="s">
        <v>163</v>
      </c>
      <c r="E280" s="2" t="s">
        <v>1137</v>
      </c>
      <c r="F280" s="119" t="s">
        <v>678</v>
      </c>
      <c r="G280" s="56" t="s">
        <v>970</v>
      </c>
      <c r="H280" s="20" t="s">
        <v>971</v>
      </c>
      <c r="I280" s="13" t="s">
        <v>187</v>
      </c>
      <c r="J280" s="56" t="s">
        <v>972</v>
      </c>
      <c r="K280" s="104">
        <v>43322</v>
      </c>
      <c r="L280" s="8">
        <v>43809</v>
      </c>
      <c r="M280" s="4">
        <f t="shared" si="248"/>
        <v>82.304185282751305</v>
      </c>
      <c r="N280" s="2" t="s">
        <v>359</v>
      </c>
      <c r="O280" s="2" t="s">
        <v>347</v>
      </c>
      <c r="P280" s="2" t="s">
        <v>347</v>
      </c>
      <c r="Q280" s="23" t="s">
        <v>361</v>
      </c>
      <c r="R280" s="2" t="s">
        <v>36</v>
      </c>
      <c r="S280" s="25">
        <f t="shared" si="241"/>
        <v>5950616.5299999993</v>
      </c>
      <c r="T280" s="25">
        <v>4798653.8099999996</v>
      </c>
      <c r="U280" s="25">
        <v>1151962.72</v>
      </c>
      <c r="V280" s="25">
        <f t="shared" si="242"/>
        <v>1134811.99</v>
      </c>
      <c r="W280" s="25">
        <v>846821.28</v>
      </c>
      <c r="X280" s="25">
        <v>287990.71000000002</v>
      </c>
      <c r="Y280" s="25">
        <f t="shared" si="247"/>
        <v>0</v>
      </c>
      <c r="Z280" s="25">
        <v>0</v>
      </c>
      <c r="AA280" s="25">
        <v>0</v>
      </c>
      <c r="AB280" s="25">
        <f t="shared" si="249"/>
        <v>144600.56</v>
      </c>
      <c r="AC280" s="25">
        <v>115213.74</v>
      </c>
      <c r="AD280" s="25">
        <v>29386.82</v>
      </c>
      <c r="AE280" s="25">
        <f t="shared" si="245"/>
        <v>7230029.0799999991</v>
      </c>
      <c r="AF280" s="25">
        <v>138667.75</v>
      </c>
      <c r="AG280" s="25">
        <f t="shared" si="246"/>
        <v>7368696.8299999991</v>
      </c>
      <c r="AH280" s="30" t="s">
        <v>920</v>
      </c>
      <c r="AI280" s="72"/>
      <c r="AJ280" s="29">
        <f>282756.47-22704+3451.47</f>
        <v>263503.93999999994</v>
      </c>
      <c r="AK280" s="29">
        <f>22703.99+27547.51</f>
        <v>50251.5</v>
      </c>
    </row>
    <row r="281" spans="1:37" ht="119.25" customHeight="1" x14ac:dyDescent="0.25">
      <c r="A281" s="2">
        <v>275</v>
      </c>
      <c r="B281" s="67">
        <v>112241</v>
      </c>
      <c r="C281" s="144">
        <v>291</v>
      </c>
      <c r="D281" s="67" t="s">
        <v>689</v>
      </c>
      <c r="E281" s="13" t="s">
        <v>165</v>
      </c>
      <c r="F281" s="119" t="s">
        <v>357</v>
      </c>
      <c r="G281" s="56" t="s">
        <v>984</v>
      </c>
      <c r="H281" s="20" t="s">
        <v>985</v>
      </c>
      <c r="I281" s="13" t="s">
        <v>986</v>
      </c>
      <c r="J281" s="73" t="s">
        <v>987</v>
      </c>
      <c r="K281" s="104">
        <v>43332</v>
      </c>
      <c r="L281" s="8">
        <v>43818</v>
      </c>
      <c r="M281" s="4">
        <f t="shared" si="248"/>
        <v>82.583882850083839</v>
      </c>
      <c r="N281" s="140" t="s">
        <v>155</v>
      </c>
      <c r="O281" s="2" t="s">
        <v>766</v>
      </c>
      <c r="P281" s="2" t="s">
        <v>754</v>
      </c>
      <c r="Q281" s="23" t="s">
        <v>361</v>
      </c>
      <c r="R281" s="145" t="s">
        <v>36</v>
      </c>
      <c r="S281" s="25">
        <f t="shared" si="241"/>
        <v>824427.28</v>
      </c>
      <c r="T281" s="25">
        <v>664828.78</v>
      </c>
      <c r="U281" s="25">
        <v>159598.5</v>
      </c>
      <c r="V281" s="25">
        <f t="shared" si="242"/>
        <v>130597.97</v>
      </c>
      <c r="W281" s="25">
        <v>97455.03</v>
      </c>
      <c r="X281" s="25">
        <v>33142.94</v>
      </c>
      <c r="Y281" s="25">
        <f t="shared" si="247"/>
        <v>26624.399999999998</v>
      </c>
      <c r="Z281" s="25">
        <v>19867.71</v>
      </c>
      <c r="AA281" s="25">
        <v>6756.69</v>
      </c>
      <c r="AB281" s="25">
        <f t="shared" si="249"/>
        <v>16641.12</v>
      </c>
      <c r="AC281" s="25">
        <v>13259.17</v>
      </c>
      <c r="AD281" s="25">
        <v>3381.95</v>
      </c>
      <c r="AE281" s="25">
        <f t="shared" si="245"/>
        <v>998290.77</v>
      </c>
      <c r="AF281" s="25"/>
      <c r="AG281" s="25">
        <f t="shared" si="246"/>
        <v>998290.77</v>
      </c>
      <c r="AH281" s="30" t="s">
        <v>920</v>
      </c>
      <c r="AI281" s="72"/>
      <c r="AJ281" s="29">
        <f>81541.49+87388.02</f>
        <v>168929.51</v>
      </c>
      <c r="AK281" s="29">
        <v>16166.91</v>
      </c>
    </row>
    <row r="282" spans="1:37" ht="270" customHeight="1" x14ac:dyDescent="0.25">
      <c r="A282" s="5">
        <v>276</v>
      </c>
      <c r="B282" s="67">
        <v>111881</v>
      </c>
      <c r="C282" s="144">
        <v>222</v>
      </c>
      <c r="D282" s="67" t="s">
        <v>173</v>
      </c>
      <c r="E282" s="13" t="s">
        <v>165</v>
      </c>
      <c r="F282" s="119" t="s">
        <v>357</v>
      </c>
      <c r="G282" s="245" t="s">
        <v>988</v>
      </c>
      <c r="H282" s="246" t="s">
        <v>989</v>
      </c>
      <c r="I282" s="13" t="s">
        <v>990</v>
      </c>
      <c r="J282" s="92" t="s">
        <v>991</v>
      </c>
      <c r="K282" s="104">
        <v>43332</v>
      </c>
      <c r="L282" s="8">
        <v>43819</v>
      </c>
      <c r="M282" s="4">
        <f t="shared" si="248"/>
        <v>82.304191094798739</v>
      </c>
      <c r="N282" s="140" t="s">
        <v>155</v>
      </c>
      <c r="O282" s="2" t="s">
        <v>347</v>
      </c>
      <c r="P282" s="2" t="s">
        <v>347</v>
      </c>
      <c r="Q282" s="23" t="s">
        <v>361</v>
      </c>
      <c r="R282" s="2" t="s">
        <v>36</v>
      </c>
      <c r="S282" s="25">
        <f t="shared" si="241"/>
        <v>817219.90999999992</v>
      </c>
      <c r="T282" s="25">
        <v>659016.69999999995</v>
      </c>
      <c r="U282" s="25">
        <v>158203.21</v>
      </c>
      <c r="V282" s="25">
        <f t="shared" si="242"/>
        <v>155847.81</v>
      </c>
      <c r="W282" s="25">
        <v>116297.02</v>
      </c>
      <c r="X282" s="25">
        <v>39550.79</v>
      </c>
      <c r="Y282" s="25">
        <f t="shared" si="247"/>
        <v>19858.52</v>
      </c>
      <c r="Z282" s="25">
        <v>15822.67</v>
      </c>
      <c r="AA282" s="25">
        <v>4035.85</v>
      </c>
      <c r="AB282" s="25">
        <f t="shared" si="249"/>
        <v>0</v>
      </c>
      <c r="AC282" s="25">
        <v>0</v>
      </c>
      <c r="AD282" s="25">
        <v>0</v>
      </c>
      <c r="AE282" s="25">
        <f t="shared" si="245"/>
        <v>992926.24</v>
      </c>
      <c r="AF282" s="25"/>
      <c r="AG282" s="25">
        <f t="shared" si="246"/>
        <v>992926.24</v>
      </c>
      <c r="AH282" s="30" t="s">
        <v>920</v>
      </c>
      <c r="AI282" s="72" t="s">
        <v>1287</v>
      </c>
      <c r="AJ282" s="29">
        <f>99292.62-14519.17</f>
        <v>84773.45</v>
      </c>
      <c r="AK282" s="29">
        <v>14519.17</v>
      </c>
    </row>
    <row r="283" spans="1:37" ht="283.5" x14ac:dyDescent="0.25">
      <c r="A283" s="5">
        <v>277</v>
      </c>
      <c r="B283" s="67">
        <v>111434</v>
      </c>
      <c r="C283" s="144">
        <v>141</v>
      </c>
      <c r="D283" s="67" t="s">
        <v>176</v>
      </c>
      <c r="E283" s="13" t="s">
        <v>165</v>
      </c>
      <c r="F283" s="119" t="s">
        <v>357</v>
      </c>
      <c r="G283" s="56" t="s">
        <v>996</v>
      </c>
      <c r="H283" s="20" t="s">
        <v>997</v>
      </c>
      <c r="I283" s="13" t="s">
        <v>998</v>
      </c>
      <c r="J283" s="73" t="s">
        <v>1066</v>
      </c>
      <c r="K283" s="104">
        <v>43332</v>
      </c>
      <c r="L283" s="8">
        <v>43819</v>
      </c>
      <c r="M283" s="4">
        <f t="shared" si="248"/>
        <v>82.30418537074344</v>
      </c>
      <c r="N283" s="2" t="s">
        <v>359</v>
      </c>
      <c r="O283" s="2" t="s">
        <v>156</v>
      </c>
      <c r="P283" s="2" t="s">
        <v>156</v>
      </c>
      <c r="Q283" s="23" t="s">
        <v>361</v>
      </c>
      <c r="R283" s="145" t="s">
        <v>36</v>
      </c>
      <c r="S283" s="25">
        <f t="shared" si="241"/>
        <v>822576.44</v>
      </c>
      <c r="T283" s="25">
        <v>663336.19999999995</v>
      </c>
      <c r="U283" s="25">
        <v>159240.24</v>
      </c>
      <c r="V283" s="25">
        <f t="shared" si="242"/>
        <v>156869.40000000002</v>
      </c>
      <c r="W283" s="25">
        <v>117059.35</v>
      </c>
      <c r="X283" s="25">
        <v>39810.050000000003</v>
      </c>
      <c r="Y283" s="25">
        <f t="shared" si="247"/>
        <v>19988.68</v>
      </c>
      <c r="Z283" s="25">
        <v>15926.46</v>
      </c>
      <c r="AA283" s="25">
        <v>4062.22</v>
      </c>
      <c r="AB283" s="25">
        <f t="shared" si="249"/>
        <v>0</v>
      </c>
      <c r="AC283" s="25"/>
      <c r="AD283" s="25"/>
      <c r="AE283" s="25">
        <f t="shared" si="245"/>
        <v>999434.52</v>
      </c>
      <c r="AF283" s="25"/>
      <c r="AG283" s="25">
        <f t="shared" si="246"/>
        <v>999434.52</v>
      </c>
      <c r="AH283" s="30" t="s">
        <v>920</v>
      </c>
      <c r="AI283" s="72" t="s">
        <v>990</v>
      </c>
      <c r="AJ283" s="29">
        <f>49971.72+83543.84</f>
        <v>133515.56</v>
      </c>
      <c r="AK283" s="29">
        <v>24884.17</v>
      </c>
    </row>
    <row r="284" spans="1:37" ht="174" customHeight="1" x14ac:dyDescent="0.25">
      <c r="A284" s="2">
        <v>278</v>
      </c>
      <c r="B284" s="67">
        <v>112374</v>
      </c>
      <c r="C284" s="144">
        <v>142</v>
      </c>
      <c r="D284" s="67" t="s">
        <v>689</v>
      </c>
      <c r="E284" s="13" t="s">
        <v>165</v>
      </c>
      <c r="F284" s="119" t="s">
        <v>357</v>
      </c>
      <c r="G284" s="56" t="s">
        <v>1001</v>
      </c>
      <c r="H284" s="20" t="s">
        <v>1002</v>
      </c>
      <c r="I284" s="13" t="s">
        <v>389</v>
      </c>
      <c r="J284" s="73" t="s">
        <v>1003</v>
      </c>
      <c r="K284" s="104">
        <v>43333</v>
      </c>
      <c r="L284" s="8">
        <v>43819</v>
      </c>
      <c r="M284" s="4">
        <f t="shared" si="248"/>
        <v>82.304182898535288</v>
      </c>
      <c r="N284" s="2" t="s">
        <v>359</v>
      </c>
      <c r="O284" s="2" t="s">
        <v>156</v>
      </c>
      <c r="P284" s="2" t="s">
        <v>156</v>
      </c>
      <c r="Q284" s="23" t="s">
        <v>361</v>
      </c>
      <c r="R284" s="2" t="s">
        <v>36</v>
      </c>
      <c r="S284" s="25">
        <f t="shared" si="241"/>
        <v>776266.51</v>
      </c>
      <c r="T284" s="25">
        <v>625991.30000000005</v>
      </c>
      <c r="U284" s="25">
        <v>150275.21</v>
      </c>
      <c r="V284" s="25">
        <f t="shared" si="242"/>
        <v>148037.87</v>
      </c>
      <c r="W284" s="25">
        <v>110469.08</v>
      </c>
      <c r="X284" s="25">
        <v>37568.79</v>
      </c>
      <c r="Y284" s="25">
        <f t="shared" si="247"/>
        <v>0</v>
      </c>
      <c r="Z284" s="25"/>
      <c r="AA284" s="25"/>
      <c r="AB284" s="25">
        <f t="shared" si="249"/>
        <v>18863.37</v>
      </c>
      <c r="AC284" s="25">
        <v>15029.81</v>
      </c>
      <c r="AD284" s="25">
        <v>3833.56</v>
      </c>
      <c r="AE284" s="25">
        <f t="shared" si="245"/>
        <v>943167.75</v>
      </c>
      <c r="AF284" s="25"/>
      <c r="AG284" s="25">
        <f t="shared" si="246"/>
        <v>943167.75</v>
      </c>
      <c r="AH284" s="30" t="s">
        <v>920</v>
      </c>
      <c r="AI284" s="72"/>
      <c r="AJ284" s="29">
        <f>94316.78+88365.15</f>
        <v>182681.93</v>
      </c>
      <c r="AK284" s="29">
        <v>21755.69</v>
      </c>
    </row>
    <row r="285" spans="1:37" ht="189.75" x14ac:dyDescent="0.3">
      <c r="A285" s="5">
        <v>279</v>
      </c>
      <c r="B285" s="67">
        <v>111379</v>
      </c>
      <c r="C285" s="144">
        <v>228</v>
      </c>
      <c r="D285" s="67" t="s">
        <v>173</v>
      </c>
      <c r="E285" s="13" t="s">
        <v>165</v>
      </c>
      <c r="F285" s="119" t="s">
        <v>357</v>
      </c>
      <c r="G285" s="247" t="s">
        <v>1004</v>
      </c>
      <c r="H285" s="248" t="s">
        <v>1005</v>
      </c>
      <c r="I285" s="13" t="s">
        <v>1006</v>
      </c>
      <c r="J285" s="73" t="s">
        <v>1007</v>
      </c>
      <c r="K285" s="104">
        <v>43333</v>
      </c>
      <c r="L285" s="8">
        <v>43820</v>
      </c>
      <c r="M285" s="4">
        <f t="shared" si="248"/>
        <v>82.452371972946708</v>
      </c>
      <c r="N285" s="2" t="s">
        <v>359</v>
      </c>
      <c r="O285" s="2" t="s">
        <v>156</v>
      </c>
      <c r="P285" s="2" t="s">
        <v>156</v>
      </c>
      <c r="Q285" s="23" t="s">
        <v>361</v>
      </c>
      <c r="R285" s="2" t="s">
        <v>36</v>
      </c>
      <c r="S285" s="25">
        <f t="shared" si="241"/>
        <v>823001.55</v>
      </c>
      <c r="T285" s="25">
        <v>663679.05000000005</v>
      </c>
      <c r="U285" s="25">
        <v>159322.5</v>
      </c>
      <c r="V285" s="25">
        <f t="shared" si="242"/>
        <v>142846.60999999999</v>
      </c>
      <c r="W285" s="25">
        <v>106595.2</v>
      </c>
      <c r="X285" s="25">
        <v>36251.410000000003</v>
      </c>
      <c r="Y285" s="25">
        <f t="shared" si="247"/>
        <v>32305.72</v>
      </c>
      <c r="Z285" s="25">
        <v>25027.37</v>
      </c>
      <c r="AA285" s="25">
        <v>7278.35</v>
      </c>
      <c r="AB285" s="25">
        <f t="shared" si="249"/>
        <v>0</v>
      </c>
      <c r="AC285" s="25"/>
      <c r="AD285" s="25"/>
      <c r="AE285" s="25">
        <f t="shared" si="245"/>
        <v>998153.88</v>
      </c>
      <c r="AF285" s="25"/>
      <c r="AG285" s="25">
        <f t="shared" si="246"/>
        <v>998153.88</v>
      </c>
      <c r="AH285" s="30" t="s">
        <v>920</v>
      </c>
      <c r="AI285" s="72" t="s">
        <v>990</v>
      </c>
      <c r="AJ285" s="29">
        <f>91009.38-9270.26</f>
        <v>81739.12000000001</v>
      </c>
      <c r="AK285" s="29">
        <v>9270.26</v>
      </c>
    </row>
    <row r="286" spans="1:37" ht="252" x14ac:dyDescent="0.25">
      <c r="A286" s="5">
        <v>280</v>
      </c>
      <c r="B286" s="67">
        <v>112711</v>
      </c>
      <c r="C286" s="144">
        <v>209</v>
      </c>
      <c r="D286" s="67" t="s">
        <v>173</v>
      </c>
      <c r="E286" s="86" t="s">
        <v>165</v>
      </c>
      <c r="F286" s="119" t="s">
        <v>357</v>
      </c>
      <c r="G286" s="56" t="s">
        <v>1013</v>
      </c>
      <c r="H286" s="20" t="s">
        <v>1014</v>
      </c>
      <c r="I286" s="86" t="s">
        <v>1015</v>
      </c>
      <c r="J286" s="92" t="s">
        <v>1016</v>
      </c>
      <c r="K286" s="104">
        <v>43335</v>
      </c>
      <c r="L286" s="8">
        <v>43822</v>
      </c>
      <c r="M286" s="4">
        <f t="shared" si="248"/>
        <v>82.640124999999998</v>
      </c>
      <c r="N286" s="2" t="s">
        <v>359</v>
      </c>
      <c r="O286" s="2" t="s">
        <v>156</v>
      </c>
      <c r="P286" s="2" t="s">
        <v>156</v>
      </c>
      <c r="Q286" s="23" t="s">
        <v>361</v>
      </c>
      <c r="R286" s="2" t="s">
        <v>36</v>
      </c>
      <c r="S286" s="25">
        <f t="shared" si="241"/>
        <v>826401.25</v>
      </c>
      <c r="T286" s="25">
        <v>666420.59</v>
      </c>
      <c r="U286" s="25">
        <v>159980.66</v>
      </c>
      <c r="V286" s="25">
        <f t="shared" si="242"/>
        <v>153598.75</v>
      </c>
      <c r="W286" s="25">
        <v>114416.53</v>
      </c>
      <c r="X286" s="25">
        <v>39182.22</v>
      </c>
      <c r="Y286" s="25">
        <f t="shared" si="247"/>
        <v>20000</v>
      </c>
      <c r="Z286" s="25">
        <v>15935.46</v>
      </c>
      <c r="AA286" s="25">
        <v>4064.54</v>
      </c>
      <c r="AB286" s="25">
        <f t="shared" si="249"/>
        <v>0</v>
      </c>
      <c r="AC286" s="25"/>
      <c r="AD286" s="25"/>
      <c r="AE286" s="25">
        <f t="shared" si="245"/>
        <v>1000000</v>
      </c>
      <c r="AF286" s="25"/>
      <c r="AG286" s="25">
        <f t="shared" si="246"/>
        <v>1000000</v>
      </c>
      <c r="AH286" s="30" t="s">
        <v>920</v>
      </c>
      <c r="AI286" s="72" t="s">
        <v>990</v>
      </c>
      <c r="AJ286" s="29">
        <f>98952.8+38728.19</f>
        <v>137680.99</v>
      </c>
      <c r="AK286" s="29">
        <v>24992.94</v>
      </c>
    </row>
    <row r="287" spans="1:37" ht="146.25" customHeight="1" x14ac:dyDescent="0.25">
      <c r="A287" s="2">
        <v>281</v>
      </c>
      <c r="B287" s="67">
        <v>112827</v>
      </c>
      <c r="C287" s="144">
        <v>305</v>
      </c>
      <c r="D287" s="67" t="s">
        <v>168</v>
      </c>
      <c r="E287" s="13" t="s">
        <v>165</v>
      </c>
      <c r="F287" s="119" t="s">
        <v>357</v>
      </c>
      <c r="G287" s="56" t="s">
        <v>1023</v>
      </c>
      <c r="H287" s="56" t="s">
        <v>1022</v>
      </c>
      <c r="I287" s="13" t="s">
        <v>1024</v>
      </c>
      <c r="J287" s="73" t="s">
        <v>1025</v>
      </c>
      <c r="K287" s="104">
        <v>43325</v>
      </c>
      <c r="L287" s="8">
        <v>43750</v>
      </c>
      <c r="M287" s="4">
        <f t="shared" si="248"/>
        <v>82.30418490460022</v>
      </c>
      <c r="N287" s="2" t="s">
        <v>359</v>
      </c>
      <c r="O287" s="2" t="s">
        <v>350</v>
      </c>
      <c r="P287" s="2" t="s">
        <v>1026</v>
      </c>
      <c r="Q287" s="23" t="s">
        <v>361</v>
      </c>
      <c r="R287" s="2" t="s">
        <v>36</v>
      </c>
      <c r="S287" s="25">
        <f t="shared" si="241"/>
        <v>819344.35</v>
      </c>
      <c r="T287" s="25">
        <v>660729.84</v>
      </c>
      <c r="U287" s="25">
        <v>158614.51</v>
      </c>
      <c r="V287" s="25">
        <f t="shared" si="242"/>
        <v>156253.01</v>
      </c>
      <c r="W287" s="25">
        <v>116599.39</v>
      </c>
      <c r="X287" s="25">
        <v>39653.620000000003</v>
      </c>
      <c r="Y287" s="25">
        <f t="shared" si="247"/>
        <v>0</v>
      </c>
      <c r="Z287" s="25"/>
      <c r="AA287" s="25"/>
      <c r="AB287" s="25">
        <f t="shared" si="249"/>
        <v>19910.16</v>
      </c>
      <c r="AC287" s="25">
        <v>15863.85</v>
      </c>
      <c r="AD287" s="25">
        <v>4046.31</v>
      </c>
      <c r="AE287" s="25">
        <f t="shared" si="245"/>
        <v>995507.52</v>
      </c>
      <c r="AF287" s="25"/>
      <c r="AG287" s="25">
        <f t="shared" si="246"/>
        <v>995507.52</v>
      </c>
      <c r="AH287" s="30" t="s">
        <v>920</v>
      </c>
      <c r="AI287" s="72" t="s">
        <v>990</v>
      </c>
      <c r="AJ287" s="29">
        <v>99347</v>
      </c>
      <c r="AK287" s="29">
        <v>0</v>
      </c>
    </row>
    <row r="288" spans="1:37" ht="141.75" x14ac:dyDescent="0.25">
      <c r="A288" s="5">
        <v>282</v>
      </c>
      <c r="B288" s="67">
        <v>112220</v>
      </c>
      <c r="C288" s="144">
        <v>239</v>
      </c>
      <c r="D288" s="67" t="s">
        <v>171</v>
      </c>
      <c r="E288" s="86" t="s">
        <v>165</v>
      </c>
      <c r="F288" s="119" t="s">
        <v>357</v>
      </c>
      <c r="G288" s="56" t="s">
        <v>1036</v>
      </c>
      <c r="H288" s="20" t="s">
        <v>1037</v>
      </c>
      <c r="I288" s="13" t="s">
        <v>1038</v>
      </c>
      <c r="J288" s="73" t="s">
        <v>1040</v>
      </c>
      <c r="K288" s="104">
        <v>43346</v>
      </c>
      <c r="L288" s="8">
        <v>43771</v>
      </c>
      <c r="M288" s="4">
        <f t="shared" si="248"/>
        <v>82.53761528755669</v>
      </c>
      <c r="N288" s="2" t="s">
        <v>359</v>
      </c>
      <c r="O288" s="2" t="s">
        <v>226</v>
      </c>
      <c r="P288" s="2" t="s">
        <v>1039</v>
      </c>
      <c r="Q288" s="23" t="s">
        <v>361</v>
      </c>
      <c r="R288" s="2" t="s">
        <v>36</v>
      </c>
      <c r="S288" s="25">
        <f t="shared" si="241"/>
        <v>770988.47</v>
      </c>
      <c r="T288" s="25">
        <v>621735</v>
      </c>
      <c r="U288" s="25">
        <v>149253.47</v>
      </c>
      <c r="V288" s="25">
        <f t="shared" si="242"/>
        <v>126240.19</v>
      </c>
      <c r="W288" s="25">
        <v>94203.17</v>
      </c>
      <c r="X288" s="25">
        <v>32037.02</v>
      </c>
      <c r="Y288" s="25">
        <f t="shared" si="247"/>
        <v>20791.07</v>
      </c>
      <c r="Z288" s="25">
        <v>15514.77</v>
      </c>
      <c r="AA288" s="25">
        <v>5276.3</v>
      </c>
      <c r="AB288" s="25">
        <f t="shared" si="249"/>
        <v>16085.85</v>
      </c>
      <c r="AC288" s="25">
        <v>12816.75</v>
      </c>
      <c r="AD288" s="25">
        <v>3269.1</v>
      </c>
      <c r="AE288" s="25">
        <f t="shared" si="245"/>
        <v>934105.57999999984</v>
      </c>
      <c r="AF288" s="25"/>
      <c r="AG288" s="25">
        <f t="shared" si="246"/>
        <v>934105.57999999984</v>
      </c>
      <c r="AH288" s="30" t="s">
        <v>627</v>
      </c>
      <c r="AI288" s="72" t="s">
        <v>385</v>
      </c>
      <c r="AJ288" s="29">
        <f>80429.21-9330.69+58258.04</f>
        <v>129356.56</v>
      </c>
      <c r="AK288" s="29">
        <v>9330.69</v>
      </c>
    </row>
    <row r="289" spans="1:37" ht="174" x14ac:dyDescent="0.3">
      <c r="A289" s="5">
        <v>283</v>
      </c>
      <c r="B289" s="67">
        <v>111775</v>
      </c>
      <c r="C289" s="144">
        <v>364</v>
      </c>
      <c r="D289" s="67" t="s">
        <v>177</v>
      </c>
      <c r="E289" s="86" t="s">
        <v>165</v>
      </c>
      <c r="F289" s="119" t="s">
        <v>357</v>
      </c>
      <c r="G289" s="249" t="s">
        <v>1041</v>
      </c>
      <c r="H289" s="250" t="s">
        <v>1042</v>
      </c>
      <c r="I289" s="13" t="s">
        <v>1043</v>
      </c>
      <c r="J289" s="73" t="s">
        <v>1044</v>
      </c>
      <c r="K289" s="104">
        <v>43346</v>
      </c>
      <c r="L289" s="8">
        <v>43832</v>
      </c>
      <c r="M289" s="4">
        <f t="shared" si="248"/>
        <v>82.30418188922819</v>
      </c>
      <c r="N289" s="2" t="s">
        <v>359</v>
      </c>
      <c r="O289" s="2" t="s">
        <v>226</v>
      </c>
      <c r="P289" s="2" t="s">
        <v>511</v>
      </c>
      <c r="Q289" s="23" t="s">
        <v>361</v>
      </c>
      <c r="R289" s="2" t="s">
        <v>36</v>
      </c>
      <c r="S289" s="25">
        <f t="shared" si="241"/>
        <v>779789.21</v>
      </c>
      <c r="T289" s="25">
        <v>628832.06999999995</v>
      </c>
      <c r="U289" s="25">
        <v>150957.14000000001</v>
      </c>
      <c r="V289" s="25">
        <f t="shared" si="242"/>
        <v>148709.68</v>
      </c>
      <c r="W289" s="25">
        <v>110970.39</v>
      </c>
      <c r="X289" s="25">
        <v>37739.29</v>
      </c>
      <c r="Y289" s="25">
        <f t="shared" si="247"/>
        <v>0</v>
      </c>
      <c r="Z289" s="25"/>
      <c r="AA289" s="25"/>
      <c r="AB289" s="25">
        <f t="shared" si="249"/>
        <v>18948.97</v>
      </c>
      <c r="AC289" s="25">
        <v>15098.01</v>
      </c>
      <c r="AD289" s="25">
        <v>3850.96</v>
      </c>
      <c r="AE289" s="25">
        <f t="shared" si="245"/>
        <v>947447.85999999987</v>
      </c>
      <c r="AF289" s="25">
        <v>0</v>
      </c>
      <c r="AG289" s="25">
        <f t="shared" si="246"/>
        <v>947447.85999999987</v>
      </c>
      <c r="AH289" s="30" t="s">
        <v>627</v>
      </c>
      <c r="AI289" s="72" t="s">
        <v>385</v>
      </c>
      <c r="AJ289" s="29">
        <v>94744.78</v>
      </c>
      <c r="AK289" s="29">
        <v>0</v>
      </c>
    </row>
    <row r="290" spans="1:37" ht="141.75" x14ac:dyDescent="0.25">
      <c r="A290" s="2">
        <v>284</v>
      </c>
      <c r="B290" s="67">
        <v>112027</v>
      </c>
      <c r="C290" s="144">
        <v>290</v>
      </c>
      <c r="D290" s="67" t="s">
        <v>689</v>
      </c>
      <c r="E290" s="86" t="s">
        <v>165</v>
      </c>
      <c r="F290" s="119" t="s">
        <v>357</v>
      </c>
      <c r="G290" s="251" t="s">
        <v>1048</v>
      </c>
      <c r="H290" s="20" t="s">
        <v>1049</v>
      </c>
      <c r="I290" s="13" t="s">
        <v>389</v>
      </c>
      <c r="J290" s="73" t="s">
        <v>1050</v>
      </c>
      <c r="K290" s="104">
        <v>43346</v>
      </c>
      <c r="L290" s="8">
        <v>43832</v>
      </c>
      <c r="M290" s="4">
        <f t="shared" si="248"/>
        <v>82.30418483269878</v>
      </c>
      <c r="N290" s="2" t="s">
        <v>359</v>
      </c>
      <c r="O290" s="2" t="s">
        <v>156</v>
      </c>
      <c r="P290" s="2" t="s">
        <v>156</v>
      </c>
      <c r="Q290" s="23" t="s">
        <v>361</v>
      </c>
      <c r="R290" s="2" t="s">
        <v>36</v>
      </c>
      <c r="S290" s="25">
        <f t="shared" si="241"/>
        <v>765927.6</v>
      </c>
      <c r="T290" s="25">
        <v>617653.87</v>
      </c>
      <c r="U290" s="25">
        <v>148273.73000000001</v>
      </c>
      <c r="V290" s="25">
        <f t="shared" si="242"/>
        <v>146066.19</v>
      </c>
      <c r="W290" s="25">
        <v>108997.75999999999</v>
      </c>
      <c r="X290" s="25">
        <v>37068.43</v>
      </c>
      <c r="Y290" s="25">
        <f t="shared" si="247"/>
        <v>0</v>
      </c>
      <c r="Z290" s="25"/>
      <c r="AA290" s="25"/>
      <c r="AB290" s="25">
        <f t="shared" si="249"/>
        <v>18612.11</v>
      </c>
      <c r="AC290" s="25">
        <v>14829.62</v>
      </c>
      <c r="AD290" s="25">
        <v>3782.49</v>
      </c>
      <c r="AE290" s="25">
        <f t="shared" si="245"/>
        <v>930605.9</v>
      </c>
      <c r="AF290" s="25"/>
      <c r="AG290" s="25">
        <f t="shared" si="246"/>
        <v>930605.9</v>
      </c>
      <c r="AH290" s="30" t="s">
        <v>627</v>
      </c>
      <c r="AI290" s="72" t="s">
        <v>385</v>
      </c>
      <c r="AJ290" s="29">
        <f>93000-10796.98+67413.16</f>
        <v>149616.18</v>
      </c>
      <c r="AK290" s="29">
        <v>10796.98</v>
      </c>
    </row>
    <row r="291" spans="1:37" ht="141.75" x14ac:dyDescent="0.25">
      <c r="A291" s="5">
        <v>285</v>
      </c>
      <c r="B291" s="67">
        <v>112733</v>
      </c>
      <c r="C291" s="144">
        <v>146</v>
      </c>
      <c r="D291" s="67" t="s">
        <v>689</v>
      </c>
      <c r="E291" s="86" t="s">
        <v>165</v>
      </c>
      <c r="F291" s="119" t="s">
        <v>357</v>
      </c>
      <c r="G291" s="87" t="s">
        <v>1055</v>
      </c>
      <c r="H291" s="20" t="s">
        <v>1056</v>
      </c>
      <c r="I291" s="13" t="s">
        <v>1057</v>
      </c>
      <c r="J291" s="73" t="s">
        <v>1058</v>
      </c>
      <c r="K291" s="104">
        <v>43349</v>
      </c>
      <c r="L291" s="8">
        <v>43835</v>
      </c>
      <c r="M291" s="4">
        <f t="shared" si="248"/>
        <v>82.53318349196968</v>
      </c>
      <c r="N291" s="2" t="s">
        <v>359</v>
      </c>
      <c r="O291" s="2" t="s">
        <v>156</v>
      </c>
      <c r="P291" s="2" t="s">
        <v>156</v>
      </c>
      <c r="Q291" s="23" t="s">
        <v>361</v>
      </c>
      <c r="R291" s="2" t="s">
        <v>36</v>
      </c>
      <c r="S291" s="25">
        <f t="shared" si="241"/>
        <v>819750.19</v>
      </c>
      <c r="T291" s="25">
        <v>661057.13</v>
      </c>
      <c r="U291" s="25">
        <v>158693.06</v>
      </c>
      <c r="V291" s="25">
        <f t="shared" si="242"/>
        <v>134642.41999999998</v>
      </c>
      <c r="W291" s="25">
        <v>100473.09</v>
      </c>
      <c r="X291" s="25">
        <v>34169.33</v>
      </c>
      <c r="Y291" s="25">
        <f t="shared" si="247"/>
        <v>21688.010000000002</v>
      </c>
      <c r="Z291" s="25">
        <v>16184.04</v>
      </c>
      <c r="AA291" s="25">
        <v>5503.97</v>
      </c>
      <c r="AB291" s="25">
        <f t="shared" si="249"/>
        <v>17156.47</v>
      </c>
      <c r="AC291" s="25">
        <v>13669.8</v>
      </c>
      <c r="AD291" s="25">
        <v>3486.67</v>
      </c>
      <c r="AE291" s="25">
        <f t="shared" si="245"/>
        <v>993237.08999999985</v>
      </c>
      <c r="AF291" s="25"/>
      <c r="AG291" s="25">
        <f t="shared" si="246"/>
        <v>993237.08999999985</v>
      </c>
      <c r="AH291" s="30" t="s">
        <v>627</v>
      </c>
      <c r="AI291" s="72" t="s">
        <v>385</v>
      </c>
      <c r="AJ291" s="29">
        <f>85782.36-3113.23</f>
        <v>82669.13</v>
      </c>
      <c r="AK291" s="29">
        <v>12524.47</v>
      </c>
    </row>
    <row r="292" spans="1:37" ht="155.25" customHeight="1" x14ac:dyDescent="0.25">
      <c r="A292" s="5">
        <v>286</v>
      </c>
      <c r="B292" s="67">
        <v>111432</v>
      </c>
      <c r="C292" s="144">
        <v>277</v>
      </c>
      <c r="D292" s="67" t="s">
        <v>174</v>
      </c>
      <c r="E292" s="86" t="s">
        <v>165</v>
      </c>
      <c r="F292" s="119" t="s">
        <v>357</v>
      </c>
      <c r="G292" s="54" t="s">
        <v>1060</v>
      </c>
      <c r="H292" s="20" t="s">
        <v>1059</v>
      </c>
      <c r="I292" s="13" t="s">
        <v>1061</v>
      </c>
      <c r="J292" s="11" t="s">
        <v>1062</v>
      </c>
      <c r="K292" s="104">
        <v>43349</v>
      </c>
      <c r="L292" s="8">
        <v>43836</v>
      </c>
      <c r="M292" s="4">
        <f t="shared" si="248"/>
        <v>82.304185577346573</v>
      </c>
      <c r="N292" s="2" t="s">
        <v>359</v>
      </c>
      <c r="O292" s="2" t="s">
        <v>156</v>
      </c>
      <c r="P292" s="2" t="s">
        <v>156</v>
      </c>
      <c r="Q292" s="23" t="s">
        <v>361</v>
      </c>
      <c r="R292" s="2" t="s">
        <v>36</v>
      </c>
      <c r="S292" s="25">
        <f t="shared" si="241"/>
        <v>811369.97</v>
      </c>
      <c r="T292" s="25">
        <v>654299.21</v>
      </c>
      <c r="U292" s="25">
        <v>157070.76</v>
      </c>
      <c r="V292" s="25">
        <f t="shared" si="242"/>
        <v>154732.26</v>
      </c>
      <c r="W292" s="25">
        <v>115464.56</v>
      </c>
      <c r="X292" s="25">
        <v>39267.699999999997</v>
      </c>
      <c r="Y292" s="25">
        <f t="shared" si="247"/>
        <v>0</v>
      </c>
      <c r="Z292" s="25"/>
      <c r="AA292" s="25"/>
      <c r="AB292" s="25">
        <f t="shared" si="249"/>
        <v>19716.37</v>
      </c>
      <c r="AC292" s="25">
        <v>15709.44</v>
      </c>
      <c r="AD292" s="25">
        <v>4006.93</v>
      </c>
      <c r="AE292" s="25">
        <f t="shared" si="245"/>
        <v>985818.6</v>
      </c>
      <c r="AF292" s="25">
        <v>0</v>
      </c>
      <c r="AG292" s="25">
        <f t="shared" si="246"/>
        <v>985818.6</v>
      </c>
      <c r="AH292" s="28" t="s">
        <v>627</v>
      </c>
      <c r="AI292" s="72" t="s">
        <v>187</v>
      </c>
      <c r="AJ292" s="29">
        <v>98500</v>
      </c>
      <c r="AK292" s="29">
        <v>0</v>
      </c>
    </row>
    <row r="293" spans="1:37" ht="330.75" x14ac:dyDescent="0.25">
      <c r="A293" s="2">
        <v>287</v>
      </c>
      <c r="B293" s="67">
        <v>112592</v>
      </c>
      <c r="C293" s="123">
        <v>144</v>
      </c>
      <c r="D293" s="67" t="s">
        <v>176</v>
      </c>
      <c r="E293" s="13" t="s">
        <v>165</v>
      </c>
      <c r="F293" s="119" t="s">
        <v>357</v>
      </c>
      <c r="G293" s="54" t="s">
        <v>1063</v>
      </c>
      <c r="H293" s="20" t="s">
        <v>1064</v>
      </c>
      <c r="I293" s="13" t="s">
        <v>385</v>
      </c>
      <c r="J293" s="73" t="s">
        <v>1065</v>
      </c>
      <c r="K293" s="104">
        <v>43349</v>
      </c>
      <c r="L293" s="8">
        <v>43835</v>
      </c>
      <c r="M293" s="4">
        <f t="shared" si="248"/>
        <v>82.304195666897996</v>
      </c>
      <c r="N293" s="2" t="s">
        <v>359</v>
      </c>
      <c r="O293" s="2" t="s">
        <v>347</v>
      </c>
      <c r="P293" s="2" t="s">
        <v>347</v>
      </c>
      <c r="Q293" s="23" t="s">
        <v>361</v>
      </c>
      <c r="R293" s="88" t="s">
        <v>36</v>
      </c>
      <c r="S293" s="25">
        <f>T293+U293</f>
        <v>809057.98</v>
      </c>
      <c r="T293" s="25">
        <v>652434.75</v>
      </c>
      <c r="U293" s="25">
        <v>156623.23000000001</v>
      </c>
      <c r="V293" s="25">
        <f t="shared" si="242"/>
        <v>154291.24</v>
      </c>
      <c r="W293" s="25">
        <v>115135.49</v>
      </c>
      <c r="X293" s="25">
        <v>39155.75</v>
      </c>
      <c r="Y293" s="25">
        <f t="shared" si="247"/>
        <v>0</v>
      </c>
      <c r="Z293" s="25"/>
      <c r="AA293" s="25"/>
      <c r="AB293" s="25">
        <f t="shared" si="249"/>
        <v>19660.18</v>
      </c>
      <c r="AC293" s="25">
        <v>15664.68</v>
      </c>
      <c r="AD293" s="25">
        <v>3995.5</v>
      </c>
      <c r="AE293" s="25">
        <f t="shared" si="245"/>
        <v>983009.4</v>
      </c>
      <c r="AF293" s="25">
        <v>0</v>
      </c>
      <c r="AG293" s="25">
        <f t="shared" si="246"/>
        <v>983009.4</v>
      </c>
      <c r="AH293" s="30" t="s">
        <v>627</v>
      </c>
      <c r="AI293" s="72" t="s">
        <v>187</v>
      </c>
      <c r="AJ293" s="29">
        <f>98300-13757.23</f>
        <v>84542.77</v>
      </c>
      <c r="AK293" s="29">
        <v>13757.23</v>
      </c>
    </row>
    <row r="294" spans="1:37" ht="299.25" x14ac:dyDescent="0.25">
      <c r="A294" s="5">
        <v>288</v>
      </c>
      <c r="B294" s="67">
        <v>111141</v>
      </c>
      <c r="C294" s="123">
        <v>312</v>
      </c>
      <c r="D294" s="67" t="s">
        <v>168</v>
      </c>
      <c r="E294" s="13" t="s">
        <v>165</v>
      </c>
      <c r="F294" s="119" t="s">
        <v>357</v>
      </c>
      <c r="G294" s="54" t="s">
        <v>1073</v>
      </c>
      <c r="H294" s="20" t="s">
        <v>1074</v>
      </c>
      <c r="I294" s="13" t="s">
        <v>1075</v>
      </c>
      <c r="J294" s="73" t="s">
        <v>1076</v>
      </c>
      <c r="K294" s="104">
        <v>43349</v>
      </c>
      <c r="L294" s="8">
        <v>43835</v>
      </c>
      <c r="M294" s="4">
        <f t="shared" si="248"/>
        <v>82.850667341734948</v>
      </c>
      <c r="N294" s="2" t="s">
        <v>359</v>
      </c>
      <c r="O294" s="2" t="s">
        <v>347</v>
      </c>
      <c r="P294" s="2" t="s">
        <v>347</v>
      </c>
      <c r="Q294" s="23" t="s">
        <v>361</v>
      </c>
      <c r="R294" s="88" t="s">
        <v>36</v>
      </c>
      <c r="S294" s="25">
        <f t="shared" si="241"/>
        <v>826770.14</v>
      </c>
      <c r="T294" s="25">
        <v>666718.05000000005</v>
      </c>
      <c r="U294" s="25">
        <v>160052.09</v>
      </c>
      <c r="V294" s="25">
        <f t="shared" si="242"/>
        <v>151175.81</v>
      </c>
      <c r="W294" s="25">
        <v>112482.44</v>
      </c>
      <c r="X294" s="25">
        <v>38693.370000000003</v>
      </c>
      <c r="Y294" s="25">
        <f t="shared" si="247"/>
        <v>0</v>
      </c>
      <c r="Z294" s="25"/>
      <c r="AA294" s="25"/>
      <c r="AB294" s="25">
        <f t="shared" si="249"/>
        <v>19958.07</v>
      </c>
      <c r="AC294" s="25">
        <v>15902.06</v>
      </c>
      <c r="AD294" s="25">
        <v>4056.01</v>
      </c>
      <c r="AE294" s="25">
        <f t="shared" si="245"/>
        <v>997904.0199999999</v>
      </c>
      <c r="AF294" s="25">
        <v>0</v>
      </c>
      <c r="AG294" s="25">
        <f t="shared" si="246"/>
        <v>997904.0199999999</v>
      </c>
      <c r="AH294" s="30" t="s">
        <v>627</v>
      </c>
      <c r="AI294" s="72"/>
      <c r="AJ294" s="29">
        <f>99790.4-11343.79</f>
        <v>88446.609999999986</v>
      </c>
      <c r="AK294" s="29">
        <v>11343.79</v>
      </c>
    </row>
    <row r="295" spans="1:37" ht="393.75" x14ac:dyDescent="0.25">
      <c r="A295" s="5">
        <v>289</v>
      </c>
      <c r="B295" s="67">
        <v>110676</v>
      </c>
      <c r="C295" s="144">
        <v>129</v>
      </c>
      <c r="D295" s="67" t="s">
        <v>176</v>
      </c>
      <c r="E295" s="13" t="s">
        <v>165</v>
      </c>
      <c r="F295" s="119" t="s">
        <v>357</v>
      </c>
      <c r="G295" s="20" t="s">
        <v>1077</v>
      </c>
      <c r="H295" s="20" t="s">
        <v>1078</v>
      </c>
      <c r="I295" s="13"/>
      <c r="J295" s="73" t="s">
        <v>1079</v>
      </c>
      <c r="K295" s="104">
        <v>43350</v>
      </c>
      <c r="L295" s="8">
        <v>43714</v>
      </c>
      <c r="M295" s="4">
        <f t="shared" si="248"/>
        <v>82.318948331511194</v>
      </c>
      <c r="N295" s="2" t="s">
        <v>359</v>
      </c>
      <c r="O295" s="2" t="s">
        <v>347</v>
      </c>
      <c r="P295" s="2" t="s">
        <v>347</v>
      </c>
      <c r="Q295" s="23" t="s">
        <v>361</v>
      </c>
      <c r="R295" s="88" t="s">
        <v>36</v>
      </c>
      <c r="S295" s="25">
        <f t="shared" si="241"/>
        <v>815275.85</v>
      </c>
      <c r="T295" s="25">
        <v>659815.64</v>
      </c>
      <c r="U295" s="25">
        <v>155460.21</v>
      </c>
      <c r="V295" s="25">
        <f t="shared" si="242"/>
        <v>155303.07</v>
      </c>
      <c r="W295" s="25">
        <v>116438.05</v>
      </c>
      <c r="X295" s="25">
        <v>38865.019999999997</v>
      </c>
      <c r="Y295" s="25">
        <f t="shared" si="247"/>
        <v>0</v>
      </c>
      <c r="Z295" s="25"/>
      <c r="AA295" s="25"/>
      <c r="AB295" s="25">
        <f t="shared" si="249"/>
        <v>19807.7</v>
      </c>
      <c r="AC295" s="25">
        <v>15841.88</v>
      </c>
      <c r="AD295" s="25">
        <v>3965.82</v>
      </c>
      <c r="AE295" s="25">
        <f t="shared" si="245"/>
        <v>990386.61999999988</v>
      </c>
      <c r="AF295" s="25">
        <v>0</v>
      </c>
      <c r="AG295" s="25">
        <f t="shared" si="246"/>
        <v>990386.61999999988</v>
      </c>
      <c r="AH295" s="30" t="s">
        <v>627</v>
      </c>
      <c r="AI295" s="72"/>
      <c r="AJ295" s="29">
        <f>97000+74075.05+62367.67</f>
        <v>233442.71999999997</v>
      </c>
      <c r="AK295" s="29">
        <f>14126.47+15038.55</f>
        <v>29165.019999999997</v>
      </c>
    </row>
    <row r="296" spans="1:37" ht="189" x14ac:dyDescent="0.25">
      <c r="A296" s="2">
        <v>290</v>
      </c>
      <c r="B296" s="67">
        <v>111475</v>
      </c>
      <c r="C296" s="144">
        <v>168</v>
      </c>
      <c r="D296" s="67" t="s">
        <v>176</v>
      </c>
      <c r="E296" s="13" t="s">
        <v>165</v>
      </c>
      <c r="F296" s="119" t="s">
        <v>357</v>
      </c>
      <c r="G296" s="54" t="s">
        <v>1089</v>
      </c>
      <c r="H296" s="20" t="s">
        <v>1090</v>
      </c>
      <c r="I296" s="13"/>
      <c r="J296" s="73" t="s">
        <v>1091</v>
      </c>
      <c r="K296" s="104">
        <v>43353</v>
      </c>
      <c r="L296" s="8">
        <v>43839</v>
      </c>
      <c r="M296" s="4">
        <f t="shared" si="248"/>
        <v>82.304180618407059</v>
      </c>
      <c r="N296" s="90" t="s">
        <v>359</v>
      </c>
      <c r="O296" s="2" t="s">
        <v>347</v>
      </c>
      <c r="P296" s="2" t="s">
        <v>347</v>
      </c>
      <c r="Q296" s="23" t="s">
        <v>361</v>
      </c>
      <c r="R296" s="88" t="s">
        <v>36</v>
      </c>
      <c r="S296" s="25">
        <f>T296+U296</f>
        <v>791535.7</v>
      </c>
      <c r="T296" s="25">
        <v>638304.56999999995</v>
      </c>
      <c r="U296" s="25">
        <v>153231.13</v>
      </c>
      <c r="V296" s="25">
        <f t="shared" si="242"/>
        <v>150949.82</v>
      </c>
      <c r="W296" s="25">
        <v>112642</v>
      </c>
      <c r="X296" s="25">
        <v>38307.82</v>
      </c>
      <c r="Y296" s="25">
        <f t="shared" si="247"/>
        <v>0</v>
      </c>
      <c r="Z296" s="25"/>
      <c r="AA296" s="25"/>
      <c r="AB296" s="25">
        <f t="shared" si="249"/>
        <v>19234.400000000001</v>
      </c>
      <c r="AC296" s="25">
        <v>15325.48</v>
      </c>
      <c r="AD296" s="25">
        <v>3908.92</v>
      </c>
      <c r="AE296" s="25">
        <f t="shared" si="245"/>
        <v>961719.92</v>
      </c>
      <c r="AF296" s="25">
        <v>0</v>
      </c>
      <c r="AG296" s="25">
        <f t="shared" si="246"/>
        <v>961719.92</v>
      </c>
      <c r="AH296" s="30" t="s">
        <v>627</v>
      </c>
      <c r="AI296" s="72"/>
      <c r="AJ296" s="29">
        <v>96171.99</v>
      </c>
      <c r="AK296" s="29">
        <v>0</v>
      </c>
    </row>
    <row r="297" spans="1:37" ht="165" x14ac:dyDescent="0.25">
      <c r="A297" s="5">
        <v>291</v>
      </c>
      <c r="B297" s="174">
        <v>118813</v>
      </c>
      <c r="C297" s="252">
        <v>449</v>
      </c>
      <c r="D297" s="2" t="s">
        <v>168</v>
      </c>
      <c r="E297" s="13" t="s">
        <v>1136</v>
      </c>
      <c r="F297" s="135" t="s">
        <v>673</v>
      </c>
      <c r="G297" s="50" t="s">
        <v>1084</v>
      </c>
      <c r="H297" s="174" t="s">
        <v>1085</v>
      </c>
      <c r="I297" s="174" t="s">
        <v>1086</v>
      </c>
      <c r="J297" s="253" t="s">
        <v>1088</v>
      </c>
      <c r="K297" s="254">
        <v>43350</v>
      </c>
      <c r="L297" s="8">
        <v>43867</v>
      </c>
      <c r="M297" s="4">
        <f>S297/AE297*100</f>
        <v>83.98386629387646</v>
      </c>
      <c r="N297" s="90" t="s">
        <v>359</v>
      </c>
      <c r="O297" s="2" t="s">
        <v>347</v>
      </c>
      <c r="P297" s="2" t="s">
        <v>347</v>
      </c>
      <c r="Q297" s="23" t="s">
        <v>157</v>
      </c>
      <c r="R297" s="88" t="s">
        <v>36</v>
      </c>
      <c r="S297" s="25">
        <f t="shared" si="241"/>
        <v>4865899.59</v>
      </c>
      <c r="T297" s="25">
        <v>3923924.02</v>
      </c>
      <c r="U297" s="25">
        <v>941975.57</v>
      </c>
      <c r="V297" s="25">
        <f t="shared" si="242"/>
        <v>0</v>
      </c>
      <c r="W297" s="25">
        <v>0</v>
      </c>
      <c r="X297" s="25">
        <v>0</v>
      </c>
      <c r="Y297" s="25">
        <f t="shared" si="247"/>
        <v>927950.83000000007</v>
      </c>
      <c r="Z297" s="25">
        <v>692457.06</v>
      </c>
      <c r="AA297" s="25">
        <v>235493.77</v>
      </c>
      <c r="AB297" s="25">
        <f t="shared" si="249"/>
        <v>0</v>
      </c>
      <c r="AC297" s="25"/>
      <c r="AD297" s="25"/>
      <c r="AE297" s="25">
        <f t="shared" si="245"/>
        <v>5793850.4199999999</v>
      </c>
      <c r="AF297" s="25">
        <v>0</v>
      </c>
      <c r="AG297" s="25">
        <f t="shared" si="246"/>
        <v>5793850.4199999999</v>
      </c>
      <c r="AH297" s="30" t="s">
        <v>627</v>
      </c>
      <c r="AI297" s="72"/>
      <c r="AJ297" s="29">
        <v>0</v>
      </c>
      <c r="AK297" s="29">
        <v>0</v>
      </c>
    </row>
    <row r="298" spans="1:37" ht="120" x14ac:dyDescent="0.25">
      <c r="A298" s="5">
        <v>292</v>
      </c>
      <c r="B298" s="67">
        <v>110215</v>
      </c>
      <c r="C298" s="144">
        <v>139</v>
      </c>
      <c r="D298" s="67" t="s">
        <v>171</v>
      </c>
      <c r="E298" s="13" t="s">
        <v>165</v>
      </c>
      <c r="F298" s="119" t="s">
        <v>357</v>
      </c>
      <c r="G298" s="50" t="s">
        <v>1095</v>
      </c>
      <c r="H298" s="50" t="s">
        <v>1096</v>
      </c>
      <c r="I298" s="13" t="s">
        <v>385</v>
      </c>
      <c r="J298" s="73" t="s">
        <v>1097</v>
      </c>
      <c r="K298" s="104">
        <v>43357</v>
      </c>
      <c r="L298" s="8">
        <v>43722</v>
      </c>
      <c r="M298" s="4">
        <f t="shared" si="248"/>
        <v>82.304183894733001</v>
      </c>
      <c r="N298" s="90" t="s">
        <v>359</v>
      </c>
      <c r="O298" s="2" t="s">
        <v>1098</v>
      </c>
      <c r="P298" s="2" t="s">
        <v>1098</v>
      </c>
      <c r="Q298" s="23" t="s">
        <v>361</v>
      </c>
      <c r="R298" s="88" t="s">
        <v>36</v>
      </c>
      <c r="S298" s="25">
        <f t="shared" si="241"/>
        <v>799287.37</v>
      </c>
      <c r="T298" s="25">
        <v>644555.61</v>
      </c>
      <c r="U298" s="25">
        <v>154731.76</v>
      </c>
      <c r="V298" s="25">
        <f t="shared" si="242"/>
        <v>152428.06</v>
      </c>
      <c r="W298" s="25">
        <v>113745.12</v>
      </c>
      <c r="X298" s="25">
        <v>38682.94</v>
      </c>
      <c r="Y298" s="25">
        <f>Z298+AA298</f>
        <v>0</v>
      </c>
      <c r="Z298" s="25"/>
      <c r="AA298" s="25"/>
      <c r="AB298" s="25">
        <f>AC298+AD298</f>
        <v>19422.77</v>
      </c>
      <c r="AC298" s="25">
        <v>15475.55</v>
      </c>
      <c r="AD298" s="25">
        <v>3947.22</v>
      </c>
      <c r="AE298" s="25">
        <f t="shared" si="245"/>
        <v>971138.2</v>
      </c>
      <c r="AF298" s="25">
        <v>0</v>
      </c>
      <c r="AG298" s="25">
        <f t="shared" si="246"/>
        <v>971138.2</v>
      </c>
      <c r="AH298" s="30" t="s">
        <v>627</v>
      </c>
      <c r="AI298" s="72" t="s">
        <v>385</v>
      </c>
      <c r="AJ298" s="29">
        <f>97000-12225.11</f>
        <v>84774.89</v>
      </c>
      <c r="AK298" s="29">
        <v>12225.11</v>
      </c>
    </row>
    <row r="299" spans="1:37" ht="204.75" x14ac:dyDescent="0.25">
      <c r="A299" s="2">
        <v>293</v>
      </c>
      <c r="B299" s="67">
        <v>112820</v>
      </c>
      <c r="C299" s="144">
        <v>158</v>
      </c>
      <c r="D299" s="67" t="s">
        <v>176</v>
      </c>
      <c r="E299" s="13" t="s">
        <v>165</v>
      </c>
      <c r="F299" s="119" t="s">
        <v>357</v>
      </c>
      <c r="G299" s="50" t="s">
        <v>1099</v>
      </c>
      <c r="H299" s="50" t="s">
        <v>1100</v>
      </c>
      <c r="I299" s="13" t="s">
        <v>385</v>
      </c>
      <c r="J299" s="73" t="s">
        <v>1101</v>
      </c>
      <c r="K299" s="104">
        <v>43361</v>
      </c>
      <c r="L299" s="8">
        <v>43847</v>
      </c>
      <c r="M299" s="4">
        <f t="shared" si="248"/>
        <v>82.304190832413511</v>
      </c>
      <c r="N299" s="90" t="s">
        <v>359</v>
      </c>
      <c r="O299" s="2" t="s">
        <v>264</v>
      </c>
      <c r="P299" s="2" t="s">
        <v>1102</v>
      </c>
      <c r="Q299" s="23" t="s">
        <v>361</v>
      </c>
      <c r="R299" s="88" t="s">
        <v>36</v>
      </c>
      <c r="S299" s="25">
        <f t="shared" si="241"/>
        <v>812316.52</v>
      </c>
      <c r="T299" s="25">
        <v>655062.47</v>
      </c>
      <c r="U299" s="25">
        <v>157254.04999999999</v>
      </c>
      <c r="V299" s="25">
        <f t="shared" si="242"/>
        <v>154912.70000000001</v>
      </c>
      <c r="W299" s="25">
        <v>115599.23</v>
      </c>
      <c r="X299" s="25">
        <v>39313.47</v>
      </c>
      <c r="Y299" s="25">
        <f t="shared" si="247"/>
        <v>0</v>
      </c>
      <c r="Z299" s="25"/>
      <c r="AA299" s="25"/>
      <c r="AB299" s="25">
        <f t="shared" si="249"/>
        <v>19739.379999999997</v>
      </c>
      <c r="AC299" s="25">
        <v>15727.8</v>
      </c>
      <c r="AD299" s="25">
        <v>4011.58</v>
      </c>
      <c r="AE299" s="25">
        <f t="shared" si="245"/>
        <v>986968.6</v>
      </c>
      <c r="AF299" s="25"/>
      <c r="AG299" s="25">
        <f t="shared" si="246"/>
        <v>986968.6</v>
      </c>
      <c r="AH299" s="30" t="s">
        <v>627</v>
      </c>
      <c r="AI299" s="72"/>
      <c r="AJ299" s="29">
        <f>98696.6-13570.14</f>
        <v>85126.46</v>
      </c>
      <c r="AK299" s="29">
        <v>13570.14</v>
      </c>
    </row>
    <row r="300" spans="1:37" ht="267.75" x14ac:dyDescent="0.25">
      <c r="A300" s="5">
        <v>294</v>
      </c>
      <c r="B300" s="67">
        <v>111916</v>
      </c>
      <c r="C300" s="144">
        <v>145</v>
      </c>
      <c r="D300" s="67" t="s">
        <v>176</v>
      </c>
      <c r="E300" s="13" t="s">
        <v>165</v>
      </c>
      <c r="F300" s="119" t="s">
        <v>357</v>
      </c>
      <c r="G300" s="50" t="s">
        <v>1103</v>
      </c>
      <c r="H300" s="50" t="s">
        <v>1104</v>
      </c>
      <c r="I300" s="13" t="s">
        <v>385</v>
      </c>
      <c r="J300" s="73" t="s">
        <v>1105</v>
      </c>
      <c r="K300" s="104">
        <v>43361</v>
      </c>
      <c r="L300" s="8">
        <v>43847</v>
      </c>
      <c r="M300" s="4">
        <f t="shared" si="248"/>
        <v>82.304184939869245</v>
      </c>
      <c r="N300" s="90" t="s">
        <v>359</v>
      </c>
      <c r="O300" s="2" t="s">
        <v>994</v>
      </c>
      <c r="P300" s="2" t="s">
        <v>994</v>
      </c>
      <c r="Q300" s="23" t="s">
        <v>361</v>
      </c>
      <c r="R300" s="88" t="s">
        <v>36</v>
      </c>
      <c r="S300" s="25">
        <f t="shared" si="241"/>
        <v>810699.02</v>
      </c>
      <c r="T300" s="25">
        <v>653758.11</v>
      </c>
      <c r="U300" s="25">
        <v>156940.91</v>
      </c>
      <c r="V300" s="25">
        <f t="shared" si="242"/>
        <v>154604.30000000002</v>
      </c>
      <c r="W300" s="25">
        <v>115369.07</v>
      </c>
      <c r="X300" s="25">
        <v>39235.230000000003</v>
      </c>
      <c r="Y300" s="25">
        <f t="shared" si="247"/>
        <v>0</v>
      </c>
      <c r="Z300" s="25"/>
      <c r="AA300" s="25"/>
      <c r="AB300" s="25">
        <f t="shared" si="249"/>
        <v>19700.080000000002</v>
      </c>
      <c r="AC300" s="25">
        <v>15696.51</v>
      </c>
      <c r="AD300" s="25">
        <v>4003.57</v>
      </c>
      <c r="AE300" s="25">
        <f t="shared" si="245"/>
        <v>985003.4</v>
      </c>
      <c r="AF300" s="25"/>
      <c r="AG300" s="25">
        <f t="shared" si="246"/>
        <v>985003.4</v>
      </c>
      <c r="AH300" s="30" t="s">
        <v>627</v>
      </c>
      <c r="AI300" s="72"/>
      <c r="AJ300" s="29">
        <f>98000+15936.3</f>
        <v>113936.3</v>
      </c>
      <c r="AK300" s="29">
        <v>21728.22</v>
      </c>
    </row>
    <row r="301" spans="1:37" ht="96" customHeight="1" x14ac:dyDescent="0.25">
      <c r="A301" s="5">
        <v>295</v>
      </c>
      <c r="B301" s="67"/>
      <c r="C301" s="144">
        <v>392</v>
      </c>
      <c r="D301" s="67" t="s">
        <v>168</v>
      </c>
      <c r="E301" s="13" t="s">
        <v>165</v>
      </c>
      <c r="F301" s="119" t="s">
        <v>484</v>
      </c>
      <c r="G301" s="83" t="s">
        <v>1106</v>
      </c>
      <c r="H301" s="84" t="s">
        <v>1107</v>
      </c>
      <c r="I301" s="13" t="s">
        <v>1108</v>
      </c>
      <c r="J301" s="207" t="s">
        <v>1109</v>
      </c>
      <c r="K301" s="104">
        <v>43356</v>
      </c>
      <c r="L301" s="8">
        <v>44012</v>
      </c>
      <c r="M301" s="4">
        <f t="shared" si="248"/>
        <v>83.98386240618575</v>
      </c>
      <c r="N301" s="2" t="s">
        <v>359</v>
      </c>
      <c r="O301" s="2" t="s">
        <v>347</v>
      </c>
      <c r="P301" s="2" t="s">
        <v>347</v>
      </c>
      <c r="Q301" s="23" t="s">
        <v>157</v>
      </c>
      <c r="R301" s="2" t="s">
        <v>36</v>
      </c>
      <c r="S301" s="25">
        <f>T301+U301</f>
        <v>2443303.91</v>
      </c>
      <c r="T301" s="25">
        <v>1970311.71</v>
      </c>
      <c r="U301" s="25">
        <v>472992.2</v>
      </c>
      <c r="V301" s="25">
        <f t="shared" si="242"/>
        <v>0</v>
      </c>
      <c r="W301" s="25">
        <v>0</v>
      </c>
      <c r="X301" s="25">
        <v>0</v>
      </c>
      <c r="Y301" s="25">
        <f>Z301+AA301</f>
        <v>465950.13</v>
      </c>
      <c r="Z301" s="25">
        <v>347702.1</v>
      </c>
      <c r="AA301" s="25">
        <v>118248.03</v>
      </c>
      <c r="AB301" s="25">
        <f t="shared" si="249"/>
        <v>0</v>
      </c>
      <c r="AC301" s="25">
        <v>0</v>
      </c>
      <c r="AD301" s="25">
        <v>0</v>
      </c>
      <c r="AE301" s="25">
        <f t="shared" si="245"/>
        <v>2909254.04</v>
      </c>
      <c r="AF301" s="25"/>
      <c r="AG301" s="25">
        <f t="shared" si="246"/>
        <v>2909254.04</v>
      </c>
      <c r="AH301" s="30" t="s">
        <v>627</v>
      </c>
      <c r="AI301" s="72"/>
      <c r="AJ301" s="29">
        <v>0</v>
      </c>
      <c r="AK301" s="29">
        <v>0</v>
      </c>
    </row>
    <row r="302" spans="1:37" ht="141.75" x14ac:dyDescent="0.25">
      <c r="A302" s="2">
        <v>296</v>
      </c>
      <c r="B302" s="67">
        <v>109770</v>
      </c>
      <c r="C302" s="144">
        <v>300</v>
      </c>
      <c r="D302" s="67" t="s">
        <v>689</v>
      </c>
      <c r="E302" s="13" t="s">
        <v>165</v>
      </c>
      <c r="F302" s="119" t="s">
        <v>357</v>
      </c>
      <c r="G302" s="83" t="s">
        <v>1110</v>
      </c>
      <c r="H302" s="20" t="s">
        <v>1111</v>
      </c>
      <c r="I302" s="13" t="s">
        <v>385</v>
      </c>
      <c r="J302" s="73" t="s">
        <v>1112</v>
      </c>
      <c r="K302" s="104">
        <v>43362</v>
      </c>
      <c r="L302" s="8">
        <v>43848</v>
      </c>
      <c r="M302" s="4">
        <f t="shared" si="248"/>
        <v>82.304184197970017</v>
      </c>
      <c r="N302" s="2" t="s">
        <v>359</v>
      </c>
      <c r="O302" s="2" t="s">
        <v>347</v>
      </c>
      <c r="P302" s="2" t="s">
        <v>347</v>
      </c>
      <c r="Q302" s="23" t="s">
        <v>361</v>
      </c>
      <c r="R302" s="2" t="s">
        <v>36</v>
      </c>
      <c r="S302" s="25">
        <f t="shared" si="241"/>
        <v>786369.83000000007</v>
      </c>
      <c r="T302" s="25">
        <v>634138.80000000005</v>
      </c>
      <c r="U302" s="25">
        <v>152231.03</v>
      </c>
      <c r="V302" s="25">
        <f t="shared" si="242"/>
        <v>149964.62</v>
      </c>
      <c r="W302" s="25">
        <v>111906.86</v>
      </c>
      <c r="X302" s="25">
        <v>38057.760000000002</v>
      </c>
      <c r="Y302" s="25">
        <f t="shared" si="247"/>
        <v>0</v>
      </c>
      <c r="Z302" s="25"/>
      <c r="AA302" s="25"/>
      <c r="AB302" s="25">
        <f t="shared" si="249"/>
        <v>19108.870000000003</v>
      </c>
      <c r="AC302" s="25">
        <v>15225.37</v>
      </c>
      <c r="AD302" s="25">
        <v>3883.5</v>
      </c>
      <c r="AE302" s="25">
        <f t="shared" si="245"/>
        <v>955443.32000000007</v>
      </c>
      <c r="AF302" s="25"/>
      <c r="AG302" s="25">
        <f t="shared" si="246"/>
        <v>955443.32000000007</v>
      </c>
      <c r="AH302" s="30" t="s">
        <v>627</v>
      </c>
      <c r="AI302" s="72"/>
      <c r="AJ302" s="29">
        <f>95544.32-8902.54</f>
        <v>86641.78</v>
      </c>
      <c r="AK302" s="29">
        <v>13512.19</v>
      </c>
    </row>
    <row r="303" spans="1:37" ht="141.75" x14ac:dyDescent="0.25">
      <c r="A303" s="5">
        <v>297</v>
      </c>
      <c r="B303" s="67">
        <v>112155</v>
      </c>
      <c r="C303" s="144">
        <v>224</v>
      </c>
      <c r="D303" s="67" t="s">
        <v>173</v>
      </c>
      <c r="E303" s="13" t="s">
        <v>165</v>
      </c>
      <c r="F303" s="119" t="s">
        <v>357</v>
      </c>
      <c r="G303" s="83" t="s">
        <v>1113</v>
      </c>
      <c r="H303" s="20" t="s">
        <v>1114</v>
      </c>
      <c r="I303" s="13" t="s">
        <v>1115</v>
      </c>
      <c r="J303" s="73" t="s">
        <v>1116</v>
      </c>
      <c r="K303" s="104">
        <v>43362</v>
      </c>
      <c r="L303" s="8">
        <v>43848</v>
      </c>
      <c r="M303" s="4">
        <f t="shared" si="248"/>
        <v>82.838169366221436</v>
      </c>
      <c r="N303" s="2" t="s">
        <v>359</v>
      </c>
      <c r="O303" s="2" t="s">
        <v>994</v>
      </c>
      <c r="P303" s="2" t="s">
        <v>994</v>
      </c>
      <c r="Q303" s="23" t="s">
        <v>361</v>
      </c>
      <c r="R303" s="2" t="s">
        <v>36</v>
      </c>
      <c r="S303" s="25">
        <f t="shared" si="241"/>
        <v>821979.66999999993</v>
      </c>
      <c r="T303" s="25">
        <v>662854.99</v>
      </c>
      <c r="U303" s="25">
        <v>159124.68</v>
      </c>
      <c r="V303" s="25">
        <f t="shared" si="242"/>
        <v>150446.51999999999</v>
      </c>
      <c r="W303" s="25">
        <v>111947.54</v>
      </c>
      <c r="X303" s="25">
        <v>38498.980000000003</v>
      </c>
      <c r="Y303" s="25">
        <f t="shared" si="247"/>
        <v>6308.99</v>
      </c>
      <c r="Z303" s="25">
        <v>5026.83</v>
      </c>
      <c r="AA303" s="25">
        <v>1282.1600000000001</v>
      </c>
      <c r="AB303" s="25">
        <f t="shared" si="249"/>
        <v>13536.47</v>
      </c>
      <c r="AC303" s="25">
        <v>10785.47</v>
      </c>
      <c r="AD303" s="25">
        <v>2751</v>
      </c>
      <c r="AE303" s="25">
        <f t="shared" si="245"/>
        <v>992271.64999999991</v>
      </c>
      <c r="AF303" s="25"/>
      <c r="AG303" s="25">
        <f t="shared" si="246"/>
        <v>992271.64999999991</v>
      </c>
      <c r="AH303" s="30" t="s">
        <v>627</v>
      </c>
      <c r="AI303" s="72"/>
      <c r="AJ303" s="29">
        <v>99227.15</v>
      </c>
      <c r="AK303" s="29">
        <v>0</v>
      </c>
    </row>
    <row r="304" spans="1:37" ht="267.75" x14ac:dyDescent="0.25">
      <c r="A304" s="5">
        <v>298</v>
      </c>
      <c r="B304" s="67">
        <v>111612</v>
      </c>
      <c r="C304" s="144">
        <v>153</v>
      </c>
      <c r="D304" s="67" t="s">
        <v>176</v>
      </c>
      <c r="E304" s="13" t="s">
        <v>165</v>
      </c>
      <c r="F304" s="119" t="s">
        <v>357</v>
      </c>
      <c r="G304" s="20" t="s">
        <v>1121</v>
      </c>
      <c r="H304" s="20" t="s">
        <v>1122</v>
      </c>
      <c r="I304" s="13" t="s">
        <v>1123</v>
      </c>
      <c r="J304" s="73" t="s">
        <v>1124</v>
      </c>
      <c r="K304" s="104">
        <v>43371</v>
      </c>
      <c r="L304" s="8">
        <v>43796</v>
      </c>
      <c r="M304" s="4">
        <f>S304/AE304*100</f>
        <v>82.304183068176116</v>
      </c>
      <c r="N304" s="90" t="s">
        <v>359</v>
      </c>
      <c r="O304" s="2" t="s">
        <v>347</v>
      </c>
      <c r="P304" s="2" t="s">
        <v>347</v>
      </c>
      <c r="Q304" s="23" t="s">
        <v>361</v>
      </c>
      <c r="R304" s="2" t="s">
        <v>36</v>
      </c>
      <c r="S304" s="25">
        <f t="shared" ref="S304:S318" si="256">T304+U304</f>
        <v>719578.88</v>
      </c>
      <c r="T304" s="25">
        <v>580277.67000000004</v>
      </c>
      <c r="U304" s="25">
        <v>139301.21</v>
      </c>
      <c r="V304" s="25">
        <f t="shared" ref="V304:V318" si="257">W304+X304</f>
        <v>137227.27000000002</v>
      </c>
      <c r="W304" s="25">
        <v>102401.97</v>
      </c>
      <c r="X304" s="25">
        <v>34825.300000000003</v>
      </c>
      <c r="Y304" s="25">
        <f t="shared" ref="Y304:Y318" si="258">Z304+AA304</f>
        <v>0</v>
      </c>
      <c r="Z304" s="25">
        <v>0</v>
      </c>
      <c r="AA304" s="25">
        <v>0</v>
      </c>
      <c r="AB304" s="25">
        <f t="shared" ref="AB304:AB318" si="259">AC304+AD304</f>
        <v>17485.84</v>
      </c>
      <c r="AC304" s="25">
        <v>13932.24</v>
      </c>
      <c r="AD304" s="25">
        <v>3553.6</v>
      </c>
      <c r="AE304" s="25">
        <f t="shared" ref="AE304:AE318" si="260">S304+V304+Y304+AB304</f>
        <v>874291.99</v>
      </c>
      <c r="AF304" s="25"/>
      <c r="AG304" s="25">
        <f t="shared" ref="AG304:AG318" si="261">AE304+AF304</f>
        <v>874291.99</v>
      </c>
      <c r="AH304" s="30" t="s">
        <v>627</v>
      </c>
      <c r="AI304" s="72"/>
      <c r="AJ304" s="29">
        <f>87429.19-11092.62</f>
        <v>76336.570000000007</v>
      </c>
      <c r="AK304" s="29">
        <v>11092.62</v>
      </c>
    </row>
    <row r="305" spans="1:37" ht="390" customHeight="1" x14ac:dyDescent="0.25">
      <c r="A305" s="2">
        <v>299</v>
      </c>
      <c r="B305" s="67">
        <v>110058</v>
      </c>
      <c r="C305" s="144">
        <v>302</v>
      </c>
      <c r="D305" s="67" t="s">
        <v>1126</v>
      </c>
      <c r="E305" s="13" t="s">
        <v>165</v>
      </c>
      <c r="F305" s="119" t="s">
        <v>357</v>
      </c>
      <c r="G305" s="83" t="s">
        <v>1127</v>
      </c>
      <c r="H305" s="20" t="s">
        <v>1128</v>
      </c>
      <c r="I305" s="13" t="s">
        <v>1129</v>
      </c>
      <c r="J305" s="92" t="s">
        <v>1130</v>
      </c>
      <c r="K305" s="104">
        <v>43370</v>
      </c>
      <c r="L305" s="8">
        <v>43857</v>
      </c>
      <c r="M305" s="4">
        <f>S305/AE305*100</f>
        <v>82.767157561916832</v>
      </c>
      <c r="N305" s="90" t="s">
        <v>359</v>
      </c>
      <c r="O305" s="2" t="s">
        <v>347</v>
      </c>
      <c r="P305" s="2" t="s">
        <v>347</v>
      </c>
      <c r="Q305" s="23" t="s">
        <v>361</v>
      </c>
      <c r="R305" s="2" t="s">
        <v>36</v>
      </c>
      <c r="S305" s="25">
        <f t="shared" si="256"/>
        <v>803873.75</v>
      </c>
      <c r="T305" s="25">
        <v>648254.14</v>
      </c>
      <c r="U305" s="25">
        <v>155619.60999999999</v>
      </c>
      <c r="V305" s="25">
        <f t="shared" si="257"/>
        <v>147948.57</v>
      </c>
      <c r="W305" s="25">
        <v>110131.78</v>
      </c>
      <c r="X305" s="25">
        <v>37816.79</v>
      </c>
      <c r="Y305" s="25">
        <f t="shared" si="258"/>
        <v>0</v>
      </c>
      <c r="Z305" s="25"/>
      <c r="AA305" s="25"/>
      <c r="AB305" s="25">
        <f t="shared" si="259"/>
        <v>19424.939999999999</v>
      </c>
      <c r="AC305" s="25">
        <v>15477.26</v>
      </c>
      <c r="AD305" s="25">
        <v>3947.68</v>
      </c>
      <c r="AE305" s="25">
        <f t="shared" si="260"/>
        <v>971247.26</v>
      </c>
      <c r="AF305" s="93"/>
      <c r="AG305" s="25">
        <f t="shared" si="261"/>
        <v>971247.26</v>
      </c>
      <c r="AH305" s="30" t="s">
        <v>627</v>
      </c>
      <c r="AI305" s="72"/>
      <c r="AJ305" s="29">
        <v>97124.72</v>
      </c>
      <c r="AK305" s="29">
        <v>0</v>
      </c>
    </row>
    <row r="306" spans="1:37" ht="390" customHeight="1" x14ac:dyDescent="0.25">
      <c r="A306" s="5">
        <v>300</v>
      </c>
      <c r="B306" s="67">
        <v>111482</v>
      </c>
      <c r="C306" s="144">
        <v>133</v>
      </c>
      <c r="D306" s="67" t="s">
        <v>176</v>
      </c>
      <c r="E306" s="13" t="s">
        <v>165</v>
      </c>
      <c r="F306" s="119" t="s">
        <v>357</v>
      </c>
      <c r="G306" s="20" t="s">
        <v>1139</v>
      </c>
      <c r="H306" s="20" t="s">
        <v>1138</v>
      </c>
      <c r="I306" s="13" t="s">
        <v>1140</v>
      </c>
      <c r="J306" s="92" t="s">
        <v>1141</v>
      </c>
      <c r="K306" s="104">
        <v>43376</v>
      </c>
      <c r="L306" s="8">
        <v>43864</v>
      </c>
      <c r="M306" s="4">
        <f t="shared" ref="M306:M318" si="262">S306/AE306*100</f>
        <v>82.928005929547282</v>
      </c>
      <c r="N306" s="90" t="s">
        <v>359</v>
      </c>
      <c r="O306" s="2" t="s">
        <v>337</v>
      </c>
      <c r="P306" s="2" t="s">
        <v>1142</v>
      </c>
      <c r="Q306" s="23" t="s">
        <v>361</v>
      </c>
      <c r="R306" s="2" t="s">
        <v>36</v>
      </c>
      <c r="S306" s="25">
        <f t="shared" si="256"/>
        <v>795878.74</v>
      </c>
      <c r="T306" s="25">
        <v>641806.86</v>
      </c>
      <c r="U306" s="25">
        <v>154071.88</v>
      </c>
      <c r="V306" s="25">
        <f t="shared" si="257"/>
        <v>144649.33000000002</v>
      </c>
      <c r="W306" s="25">
        <v>107580.1</v>
      </c>
      <c r="X306" s="25">
        <v>37069.230000000003</v>
      </c>
      <c r="Y306" s="25">
        <f t="shared" si="258"/>
        <v>0</v>
      </c>
      <c r="Z306" s="25"/>
      <c r="AA306" s="25"/>
      <c r="AB306" s="25">
        <f t="shared" si="259"/>
        <v>19194.440000000002</v>
      </c>
      <c r="AC306" s="25">
        <v>15293.61</v>
      </c>
      <c r="AD306" s="25">
        <v>3900.83</v>
      </c>
      <c r="AE306" s="25">
        <f t="shared" si="260"/>
        <v>959722.51</v>
      </c>
      <c r="AF306" s="93"/>
      <c r="AG306" s="25">
        <f t="shared" si="261"/>
        <v>959722.51</v>
      </c>
      <c r="AH306" s="30" t="s">
        <v>920</v>
      </c>
      <c r="AI306" s="72"/>
      <c r="AJ306" s="29">
        <v>94052.800000000003</v>
      </c>
      <c r="AK306" s="29">
        <v>0</v>
      </c>
    </row>
    <row r="307" spans="1:37" ht="390" customHeight="1" x14ac:dyDescent="0.25">
      <c r="A307" s="5">
        <v>301</v>
      </c>
      <c r="B307" s="67">
        <v>112266</v>
      </c>
      <c r="C307" s="144">
        <v>310</v>
      </c>
      <c r="D307" s="67" t="s">
        <v>168</v>
      </c>
      <c r="E307" s="13" t="s">
        <v>165</v>
      </c>
      <c r="F307" s="119" t="s">
        <v>357</v>
      </c>
      <c r="G307" s="20" t="s">
        <v>1143</v>
      </c>
      <c r="H307" s="20" t="s">
        <v>1144</v>
      </c>
      <c r="I307" s="13" t="s">
        <v>1145</v>
      </c>
      <c r="J307" s="92" t="s">
        <v>1146</v>
      </c>
      <c r="K307" s="104">
        <v>43376</v>
      </c>
      <c r="L307" s="8">
        <v>43801</v>
      </c>
      <c r="M307" s="4">
        <f t="shared" si="262"/>
        <v>83.010839519489394</v>
      </c>
      <c r="N307" s="90" t="s">
        <v>359</v>
      </c>
      <c r="O307" s="2" t="s">
        <v>347</v>
      </c>
      <c r="P307" s="2" t="s">
        <v>347</v>
      </c>
      <c r="Q307" s="23" t="s">
        <v>157</v>
      </c>
      <c r="R307" s="2" t="s">
        <v>36</v>
      </c>
      <c r="S307" s="25">
        <f t="shared" si="256"/>
        <v>830076.27</v>
      </c>
      <c r="T307" s="25">
        <v>669384.21</v>
      </c>
      <c r="U307" s="25">
        <v>160692.06</v>
      </c>
      <c r="V307" s="25">
        <f t="shared" si="257"/>
        <v>149885.79999999999</v>
      </c>
      <c r="W307" s="25">
        <v>111422.7</v>
      </c>
      <c r="X307" s="25">
        <v>38463.1</v>
      </c>
      <c r="Y307" s="25">
        <f t="shared" si="258"/>
        <v>0</v>
      </c>
      <c r="Z307" s="25"/>
      <c r="AA307" s="25"/>
      <c r="AB307" s="25">
        <f t="shared" si="259"/>
        <v>19999.23</v>
      </c>
      <c r="AC307" s="25">
        <v>15934.82</v>
      </c>
      <c r="AD307" s="25">
        <v>4064.41</v>
      </c>
      <c r="AE307" s="25">
        <f t="shared" si="260"/>
        <v>999961.3</v>
      </c>
      <c r="AF307" s="93"/>
      <c r="AG307" s="25">
        <f t="shared" si="261"/>
        <v>999961.3</v>
      </c>
      <c r="AH307" s="30" t="s">
        <v>920</v>
      </c>
      <c r="AI307" s="72"/>
      <c r="AJ307" s="29">
        <v>99996.13</v>
      </c>
      <c r="AK307" s="29">
        <v>0</v>
      </c>
    </row>
    <row r="308" spans="1:37" ht="390" customHeight="1" x14ac:dyDescent="0.25">
      <c r="A308" s="2">
        <v>302</v>
      </c>
      <c r="B308" s="67">
        <v>118704</v>
      </c>
      <c r="C308" s="144">
        <v>434</v>
      </c>
      <c r="D308" s="67" t="s">
        <v>173</v>
      </c>
      <c r="E308" s="13" t="s">
        <v>1136</v>
      </c>
      <c r="F308" s="135" t="s">
        <v>673</v>
      </c>
      <c r="G308" s="83" t="s">
        <v>1147</v>
      </c>
      <c r="H308" s="20" t="s">
        <v>1148</v>
      </c>
      <c r="I308" s="13" t="s">
        <v>389</v>
      </c>
      <c r="J308" s="92" t="s">
        <v>1149</v>
      </c>
      <c r="K308" s="104">
        <v>43383</v>
      </c>
      <c r="L308" s="8">
        <v>43840</v>
      </c>
      <c r="M308" s="4">
        <f t="shared" si="262"/>
        <v>83.983863490038914</v>
      </c>
      <c r="N308" s="90" t="s">
        <v>359</v>
      </c>
      <c r="O308" s="2" t="s">
        <v>347</v>
      </c>
      <c r="P308" s="2" t="s">
        <v>347</v>
      </c>
      <c r="Q308" s="23" t="s">
        <v>157</v>
      </c>
      <c r="R308" s="88" t="s">
        <v>36</v>
      </c>
      <c r="S308" s="25">
        <f t="shared" si="256"/>
        <v>1448623.9131812274</v>
      </c>
      <c r="T308" s="25">
        <v>1168188.9920808757</v>
      </c>
      <c r="U308" s="25">
        <v>280434.92110035178</v>
      </c>
      <c r="V308" s="25">
        <f t="shared" si="257"/>
        <v>0</v>
      </c>
      <c r="W308" s="25">
        <v>0</v>
      </c>
      <c r="X308" s="25">
        <v>0</v>
      </c>
      <c r="Y308" s="25">
        <f>Z308+AA308</f>
        <v>0</v>
      </c>
      <c r="Z308" s="25">
        <v>0</v>
      </c>
      <c r="AA308" s="25">
        <v>0</v>
      </c>
      <c r="AB308" s="25">
        <f>AC308+AD308</f>
        <v>276259.71681877202</v>
      </c>
      <c r="AC308" s="25">
        <v>206150.9671228973</v>
      </c>
      <c r="AD308" s="25">
        <v>70108.749695874722</v>
      </c>
      <c r="AE308" s="25">
        <f t="shared" si="260"/>
        <v>1724883.6299999994</v>
      </c>
      <c r="AF308" s="93"/>
      <c r="AG308" s="25">
        <f t="shared" si="261"/>
        <v>1724883.6299999994</v>
      </c>
      <c r="AH308" s="30" t="s">
        <v>920</v>
      </c>
      <c r="AI308" s="72"/>
      <c r="AJ308" s="29">
        <v>0</v>
      </c>
      <c r="AK308" s="29">
        <v>0</v>
      </c>
    </row>
    <row r="309" spans="1:37" ht="390" customHeight="1" x14ac:dyDescent="0.25">
      <c r="A309" s="5">
        <v>303</v>
      </c>
      <c r="B309" s="67">
        <v>111265</v>
      </c>
      <c r="C309" s="144">
        <v>156</v>
      </c>
      <c r="D309" s="67" t="s">
        <v>176</v>
      </c>
      <c r="E309" s="13" t="s">
        <v>165</v>
      </c>
      <c r="F309" s="119" t="s">
        <v>357</v>
      </c>
      <c r="G309" s="83" t="s">
        <v>1156</v>
      </c>
      <c r="H309" s="20" t="s">
        <v>1186</v>
      </c>
      <c r="I309" s="13" t="s">
        <v>1157</v>
      </c>
      <c r="J309" s="92" t="s">
        <v>1158</v>
      </c>
      <c r="K309" s="104">
        <v>43390</v>
      </c>
      <c r="L309" s="8">
        <v>43877</v>
      </c>
      <c r="M309" s="4">
        <f t="shared" si="262"/>
        <v>82.30418508577705</v>
      </c>
      <c r="N309" s="90" t="s">
        <v>359</v>
      </c>
      <c r="O309" s="2" t="s">
        <v>304</v>
      </c>
      <c r="P309" s="2" t="s">
        <v>304</v>
      </c>
      <c r="Q309" s="23" t="s">
        <v>361</v>
      </c>
      <c r="R309" s="2" t="s">
        <v>36</v>
      </c>
      <c r="S309" s="25">
        <f t="shared" si="256"/>
        <v>800497.5</v>
      </c>
      <c r="T309" s="25">
        <v>645531.51</v>
      </c>
      <c r="U309" s="25">
        <v>154965.99</v>
      </c>
      <c r="V309" s="25">
        <f t="shared" si="257"/>
        <v>152658.83000000002</v>
      </c>
      <c r="W309" s="25">
        <v>113917.32</v>
      </c>
      <c r="X309" s="25">
        <v>38741.51</v>
      </c>
      <c r="Y309" s="25">
        <f t="shared" si="258"/>
        <v>0</v>
      </c>
      <c r="Z309" s="25"/>
      <c r="AA309" s="25"/>
      <c r="AB309" s="25">
        <f t="shared" si="259"/>
        <v>19452.170000000002</v>
      </c>
      <c r="AC309" s="25">
        <v>15498.95</v>
      </c>
      <c r="AD309" s="25">
        <v>3953.22</v>
      </c>
      <c r="AE309" s="25">
        <f t="shared" si="260"/>
        <v>972608.50000000012</v>
      </c>
      <c r="AF309" s="93"/>
      <c r="AG309" s="25">
        <f t="shared" si="261"/>
        <v>972608.50000000012</v>
      </c>
      <c r="AH309" s="30" t="s">
        <v>920</v>
      </c>
      <c r="AI309" s="72"/>
      <c r="AJ309" s="29">
        <v>65068.03</v>
      </c>
      <c r="AK309" s="29">
        <v>0</v>
      </c>
    </row>
    <row r="310" spans="1:37" ht="390" customHeight="1" x14ac:dyDescent="0.25">
      <c r="A310" s="5">
        <v>304</v>
      </c>
      <c r="B310" s="67">
        <v>112719</v>
      </c>
      <c r="C310" s="144">
        <v>287</v>
      </c>
      <c r="D310" s="67" t="s">
        <v>689</v>
      </c>
      <c r="E310" s="13" t="s">
        <v>165</v>
      </c>
      <c r="F310" s="119" t="s">
        <v>357</v>
      </c>
      <c r="G310" s="94" t="s">
        <v>1169</v>
      </c>
      <c r="H310" s="20" t="s">
        <v>1170</v>
      </c>
      <c r="I310" s="13" t="s">
        <v>1171</v>
      </c>
      <c r="J310" s="92" t="s">
        <v>1172</v>
      </c>
      <c r="K310" s="104">
        <v>43399</v>
      </c>
      <c r="L310" s="8">
        <v>43886</v>
      </c>
      <c r="M310" s="4">
        <f t="shared" si="262"/>
        <v>82.304184463081299</v>
      </c>
      <c r="N310" s="90" t="s">
        <v>359</v>
      </c>
      <c r="O310" s="2" t="s">
        <v>156</v>
      </c>
      <c r="P310" s="2" t="s">
        <v>156</v>
      </c>
      <c r="Q310" s="23" t="s">
        <v>361</v>
      </c>
      <c r="R310" s="2" t="s">
        <v>36</v>
      </c>
      <c r="S310" s="25">
        <f t="shared" si="256"/>
        <v>780735</v>
      </c>
      <c r="T310" s="25">
        <v>629594.75</v>
      </c>
      <c r="U310" s="25">
        <v>151140.25</v>
      </c>
      <c r="V310" s="25">
        <f t="shared" si="257"/>
        <v>148890.03999999998</v>
      </c>
      <c r="W310" s="25">
        <v>111105.01</v>
      </c>
      <c r="X310" s="25">
        <v>37785.03</v>
      </c>
      <c r="Y310" s="25">
        <f>Z310+AA310</f>
        <v>0</v>
      </c>
      <c r="Z310" s="25"/>
      <c r="AA310" s="25"/>
      <c r="AB310" s="25">
        <f>AC310+AD310</f>
        <v>18971.93</v>
      </c>
      <c r="AC310" s="25">
        <v>15116.28</v>
      </c>
      <c r="AD310" s="25">
        <v>3855.65</v>
      </c>
      <c r="AE310" s="25">
        <f t="shared" si="260"/>
        <v>948596.97000000009</v>
      </c>
      <c r="AF310" s="93"/>
      <c r="AG310" s="25">
        <f t="shared" si="261"/>
        <v>948596.97000000009</v>
      </c>
      <c r="AH310" s="30" t="s">
        <v>920</v>
      </c>
      <c r="AI310" s="72"/>
      <c r="AJ310" s="29">
        <f>60847.25+46274.32</f>
        <v>107121.57</v>
      </c>
      <c r="AK310" s="29">
        <v>12128.97</v>
      </c>
    </row>
    <row r="311" spans="1:37" ht="390" customHeight="1" x14ac:dyDescent="0.25">
      <c r="A311" s="2">
        <v>305</v>
      </c>
      <c r="B311" s="67">
        <v>112591</v>
      </c>
      <c r="C311" s="144">
        <v>205</v>
      </c>
      <c r="D311" s="67" t="s">
        <v>173</v>
      </c>
      <c r="E311" s="13" t="s">
        <v>165</v>
      </c>
      <c r="F311" s="119" t="s">
        <v>357</v>
      </c>
      <c r="G311" s="94" t="s">
        <v>1173</v>
      </c>
      <c r="H311" s="20" t="s">
        <v>1174</v>
      </c>
      <c r="I311" s="13" t="s">
        <v>1176</v>
      </c>
      <c r="J311" s="92" t="s">
        <v>1175</v>
      </c>
      <c r="K311" s="104">
        <v>43404</v>
      </c>
      <c r="L311" s="8">
        <v>43890</v>
      </c>
      <c r="M311" s="4">
        <f t="shared" si="262"/>
        <v>82.304186582354504</v>
      </c>
      <c r="N311" s="90" t="s">
        <v>359</v>
      </c>
      <c r="O311" s="2" t="s">
        <v>347</v>
      </c>
      <c r="P311" s="2" t="s">
        <v>347</v>
      </c>
      <c r="Q311" s="23" t="s">
        <v>361</v>
      </c>
      <c r="R311" s="2" t="s">
        <v>36</v>
      </c>
      <c r="S311" s="25">
        <f t="shared" si="256"/>
        <v>767059.34</v>
      </c>
      <c r="T311" s="25">
        <v>618566.51</v>
      </c>
      <c r="U311" s="25">
        <v>148492.82999999999</v>
      </c>
      <c r="V311" s="25">
        <f t="shared" si="257"/>
        <v>146281.99</v>
      </c>
      <c r="W311" s="25">
        <v>109158.8</v>
      </c>
      <c r="X311" s="25">
        <v>37123.19</v>
      </c>
      <c r="Y311" s="25">
        <f t="shared" si="258"/>
        <v>0</v>
      </c>
      <c r="Z311" s="25"/>
      <c r="AA311" s="25"/>
      <c r="AB311" s="25">
        <f t="shared" si="259"/>
        <v>18639.620000000003</v>
      </c>
      <c r="AC311" s="25">
        <v>14851.54</v>
      </c>
      <c r="AD311" s="25">
        <v>3788.08</v>
      </c>
      <c r="AE311" s="25">
        <f t="shared" si="260"/>
        <v>931980.95</v>
      </c>
      <c r="AF311" s="93"/>
      <c r="AG311" s="25">
        <f t="shared" si="261"/>
        <v>931980.95</v>
      </c>
      <c r="AH311" s="30" t="s">
        <v>920</v>
      </c>
      <c r="AI311" s="72"/>
      <c r="AJ311" s="29">
        <v>0</v>
      </c>
      <c r="AK311" s="29">
        <v>0</v>
      </c>
    </row>
    <row r="312" spans="1:37" ht="390" customHeight="1" x14ac:dyDescent="0.25">
      <c r="A312" s="5">
        <v>306</v>
      </c>
      <c r="B312" s="67">
        <v>109897</v>
      </c>
      <c r="C312" s="144">
        <v>159</v>
      </c>
      <c r="D312" s="67" t="s">
        <v>176</v>
      </c>
      <c r="E312" s="13" t="s">
        <v>165</v>
      </c>
      <c r="F312" s="119" t="s">
        <v>357</v>
      </c>
      <c r="G312" s="99" t="s">
        <v>1184</v>
      </c>
      <c r="H312" s="20" t="s">
        <v>1185</v>
      </c>
      <c r="I312" s="13" t="s">
        <v>385</v>
      </c>
      <c r="J312" s="255" t="s">
        <v>1243</v>
      </c>
      <c r="K312" s="104">
        <v>43418</v>
      </c>
      <c r="L312" s="104">
        <v>43903</v>
      </c>
      <c r="M312" s="4">
        <f t="shared" si="262"/>
        <v>82.304184553403289</v>
      </c>
      <c r="N312" s="90" t="s">
        <v>359</v>
      </c>
      <c r="O312" s="2" t="s">
        <v>347</v>
      </c>
      <c r="P312" s="2" t="s">
        <v>156</v>
      </c>
      <c r="Q312" s="23" t="s">
        <v>361</v>
      </c>
      <c r="R312" s="2" t="s">
        <v>36</v>
      </c>
      <c r="S312" s="25">
        <f t="shared" si="256"/>
        <v>763718.79999999993</v>
      </c>
      <c r="T312" s="25">
        <v>615872.68999999994</v>
      </c>
      <c r="U312" s="25">
        <v>147846.10999999999</v>
      </c>
      <c r="V312" s="25">
        <f t="shared" si="257"/>
        <v>145644.95000000001</v>
      </c>
      <c r="W312" s="25">
        <v>108683.4</v>
      </c>
      <c r="X312" s="25">
        <v>36961.550000000003</v>
      </c>
      <c r="Y312" s="25">
        <f t="shared" si="258"/>
        <v>0</v>
      </c>
      <c r="Z312" s="25"/>
      <c r="AA312" s="25"/>
      <c r="AB312" s="25">
        <f t="shared" si="259"/>
        <v>18558.45</v>
      </c>
      <c r="AC312" s="25">
        <v>14786.86</v>
      </c>
      <c r="AD312" s="25">
        <v>3771.59</v>
      </c>
      <c r="AE312" s="25">
        <f t="shared" si="260"/>
        <v>927922.2</v>
      </c>
      <c r="AF312" s="93"/>
      <c r="AG312" s="25">
        <f t="shared" si="261"/>
        <v>927922.2</v>
      </c>
      <c r="AH312" s="30" t="s">
        <v>920</v>
      </c>
      <c r="AI312" s="72"/>
      <c r="AJ312" s="29">
        <v>92792.22</v>
      </c>
      <c r="AK312" s="29">
        <v>0</v>
      </c>
    </row>
    <row r="313" spans="1:37" ht="141.75" x14ac:dyDescent="0.25">
      <c r="A313" s="5">
        <v>307</v>
      </c>
      <c r="B313" s="67">
        <v>127778</v>
      </c>
      <c r="C313" s="144">
        <v>580</v>
      </c>
      <c r="D313" s="67" t="s">
        <v>172</v>
      </c>
      <c r="E313" s="13" t="s">
        <v>165</v>
      </c>
      <c r="F313" s="119" t="s">
        <v>1244</v>
      </c>
      <c r="G313" s="99" t="s">
        <v>1240</v>
      </c>
      <c r="H313" s="20" t="s">
        <v>1241</v>
      </c>
      <c r="I313" s="13" t="s">
        <v>385</v>
      </c>
      <c r="J313" s="255" t="s">
        <v>1242</v>
      </c>
      <c r="K313" s="104">
        <v>43447</v>
      </c>
      <c r="L313" s="104">
        <v>44543</v>
      </c>
      <c r="M313" s="4">
        <f t="shared" si="262"/>
        <v>83.983863103096297</v>
      </c>
      <c r="N313" s="90" t="s">
        <v>359</v>
      </c>
      <c r="O313" s="2" t="s">
        <v>347</v>
      </c>
      <c r="P313" s="2" t="s">
        <v>347</v>
      </c>
      <c r="Q313" s="23" t="s">
        <v>157</v>
      </c>
      <c r="R313" s="2" t="s">
        <v>36</v>
      </c>
      <c r="S313" s="25">
        <f t="shared" si="256"/>
        <v>10837735.809999999</v>
      </c>
      <c r="T313" s="25">
        <v>8739689.6799999997</v>
      </c>
      <c r="U313" s="25">
        <v>2098046.13</v>
      </c>
      <c r="V313" s="25">
        <f t="shared" si="257"/>
        <v>0</v>
      </c>
      <c r="W313" s="25">
        <v>0</v>
      </c>
      <c r="X313" s="25">
        <v>0</v>
      </c>
      <c r="Y313" s="25">
        <f t="shared" si="258"/>
        <v>2066809.67</v>
      </c>
      <c r="Z313" s="25">
        <v>1542298.16</v>
      </c>
      <c r="AA313" s="25">
        <v>524511.51</v>
      </c>
      <c r="AB313" s="25">
        <f t="shared" si="259"/>
        <v>0</v>
      </c>
      <c r="AC313" s="25">
        <v>0</v>
      </c>
      <c r="AD313" s="25">
        <v>0</v>
      </c>
      <c r="AE313" s="25">
        <f t="shared" si="260"/>
        <v>12904545.479999999</v>
      </c>
      <c r="AF313" s="93">
        <v>0</v>
      </c>
      <c r="AG313" s="25">
        <f t="shared" si="261"/>
        <v>12904545.479999999</v>
      </c>
      <c r="AH313" s="30" t="s">
        <v>920</v>
      </c>
      <c r="AI313" s="72" t="s">
        <v>385</v>
      </c>
      <c r="AJ313" s="29">
        <v>4232165.5</v>
      </c>
      <c r="AK313" s="29">
        <v>0</v>
      </c>
    </row>
    <row r="314" spans="1:37" ht="189" x14ac:dyDescent="0.25">
      <c r="A314" s="2">
        <v>308</v>
      </c>
      <c r="B314" s="67">
        <v>127575</v>
      </c>
      <c r="C314" s="144">
        <v>604</v>
      </c>
      <c r="D314" s="67" t="s">
        <v>163</v>
      </c>
      <c r="E314" s="13" t="s">
        <v>165</v>
      </c>
      <c r="F314" s="119" t="s">
        <v>1244</v>
      </c>
      <c r="G314" s="99" t="s">
        <v>1257</v>
      </c>
      <c r="H314" s="20" t="s">
        <v>1258</v>
      </c>
      <c r="I314" s="13" t="s">
        <v>385</v>
      </c>
      <c r="J314" s="255" t="s">
        <v>1261</v>
      </c>
      <c r="K314" s="104">
        <v>43448</v>
      </c>
      <c r="L314" s="104">
        <v>44179</v>
      </c>
      <c r="M314" s="4">
        <f t="shared" si="262"/>
        <v>83.983862830635374</v>
      </c>
      <c r="N314" s="90" t="s">
        <v>359</v>
      </c>
      <c r="O314" s="2" t="s">
        <v>347</v>
      </c>
      <c r="P314" s="2" t="s">
        <v>347</v>
      </c>
      <c r="Q314" s="23" t="s">
        <v>157</v>
      </c>
      <c r="R314" s="2" t="s">
        <v>36</v>
      </c>
      <c r="S314" s="25">
        <f t="shared" si="256"/>
        <v>71134346.120000005</v>
      </c>
      <c r="T314" s="25">
        <v>57363652.549999997</v>
      </c>
      <c r="U314" s="25">
        <v>13770693.57</v>
      </c>
      <c r="V314" s="25">
        <f t="shared" si="257"/>
        <v>0</v>
      </c>
      <c r="W314" s="25">
        <v>0</v>
      </c>
      <c r="X314" s="25">
        <v>0</v>
      </c>
      <c r="Y314" s="25">
        <f t="shared" si="258"/>
        <v>13565670.91</v>
      </c>
      <c r="Z314" s="25">
        <v>10122997.52</v>
      </c>
      <c r="AA314" s="25">
        <v>3442673.39</v>
      </c>
      <c r="AB314" s="25">
        <f t="shared" si="259"/>
        <v>0</v>
      </c>
      <c r="AC314" s="25">
        <v>0</v>
      </c>
      <c r="AD314" s="25">
        <v>0</v>
      </c>
      <c r="AE314" s="25">
        <f t="shared" si="260"/>
        <v>84700017.030000001</v>
      </c>
      <c r="AF314" s="93">
        <v>0</v>
      </c>
      <c r="AG314" s="25">
        <f t="shared" si="261"/>
        <v>84700017.030000001</v>
      </c>
      <c r="AH314" s="30" t="s">
        <v>920</v>
      </c>
      <c r="AI314" s="72"/>
      <c r="AJ314" s="29">
        <v>64794622.270000003</v>
      </c>
      <c r="AK314" s="29">
        <v>0</v>
      </c>
    </row>
    <row r="315" spans="1:37" ht="141.75" x14ac:dyDescent="0.25">
      <c r="A315" s="5">
        <v>309</v>
      </c>
      <c r="B315" s="67">
        <v>116834</v>
      </c>
      <c r="C315" s="144">
        <v>397</v>
      </c>
      <c r="D315" s="67"/>
      <c r="E315" s="13" t="s">
        <v>173</v>
      </c>
      <c r="F315" s="119" t="s">
        <v>484</v>
      </c>
      <c r="G315" s="99" t="s">
        <v>1280</v>
      </c>
      <c r="H315" s="20" t="s">
        <v>124</v>
      </c>
      <c r="I315" s="13" t="s">
        <v>1281</v>
      </c>
      <c r="J315" s="256" t="s">
        <v>1282</v>
      </c>
      <c r="K315" s="104">
        <v>43462</v>
      </c>
      <c r="L315" s="104">
        <v>44255</v>
      </c>
      <c r="M315" s="4">
        <f t="shared" si="262"/>
        <v>83.410873140491802</v>
      </c>
      <c r="N315" s="90" t="s">
        <v>359</v>
      </c>
      <c r="O315" s="2" t="s">
        <v>347</v>
      </c>
      <c r="P315" s="2" t="s">
        <v>347</v>
      </c>
      <c r="Q315" s="23" t="s">
        <v>157</v>
      </c>
      <c r="R315" s="2" t="s">
        <v>36</v>
      </c>
      <c r="S315" s="25">
        <f t="shared" si="256"/>
        <v>3404514.4715636633</v>
      </c>
      <c r="T315" s="25">
        <v>2745444.3065822711</v>
      </c>
      <c r="U315" s="25">
        <v>659070.16498139221</v>
      </c>
      <c r="V315" s="25">
        <f t="shared" si="257"/>
        <v>218543.18</v>
      </c>
      <c r="W315" s="25">
        <v>163081.66</v>
      </c>
      <c r="X315" s="25">
        <v>55461.51999999999</v>
      </c>
      <c r="Y315" s="25">
        <f t="shared" si="258"/>
        <v>430714.53843633691</v>
      </c>
      <c r="Z315" s="25">
        <v>321408.50831451727</v>
      </c>
      <c r="AA315" s="25">
        <v>109306.03012181965</v>
      </c>
      <c r="AB315" s="25">
        <f t="shared" si="259"/>
        <v>27847.32</v>
      </c>
      <c r="AC315" s="25">
        <v>22187.98</v>
      </c>
      <c r="AD315" s="25">
        <v>5659.34</v>
      </c>
      <c r="AE315" s="25">
        <f t="shared" si="260"/>
        <v>4081619.5100000002</v>
      </c>
      <c r="AF315" s="93">
        <v>0</v>
      </c>
      <c r="AG315" s="25">
        <f t="shared" si="261"/>
        <v>4081619.5100000002</v>
      </c>
      <c r="AH315" s="30" t="s">
        <v>920</v>
      </c>
      <c r="AI315" s="72"/>
      <c r="AJ315" s="29">
        <v>0</v>
      </c>
      <c r="AK315" s="29">
        <v>0</v>
      </c>
    </row>
    <row r="316" spans="1:37" ht="220.5" x14ac:dyDescent="0.25">
      <c r="A316" s="5">
        <v>310</v>
      </c>
      <c r="B316" s="67">
        <v>116793</v>
      </c>
      <c r="C316" s="144">
        <v>398</v>
      </c>
      <c r="D316" s="67"/>
      <c r="E316" s="13" t="s">
        <v>173</v>
      </c>
      <c r="F316" s="119" t="s">
        <v>484</v>
      </c>
      <c r="G316" s="99" t="s">
        <v>1283</v>
      </c>
      <c r="H316" s="20" t="s">
        <v>124</v>
      </c>
      <c r="I316" s="7" t="s">
        <v>1285</v>
      </c>
      <c r="J316" s="256" t="s">
        <v>1284</v>
      </c>
      <c r="K316" s="104">
        <v>43462</v>
      </c>
      <c r="L316" s="104">
        <v>44193</v>
      </c>
      <c r="M316" s="4">
        <f t="shared" si="262"/>
        <v>83.535949362455781</v>
      </c>
      <c r="N316" s="90" t="s">
        <v>359</v>
      </c>
      <c r="O316" s="2" t="s">
        <v>347</v>
      </c>
      <c r="P316" s="2" t="s">
        <v>347</v>
      </c>
      <c r="Q316" s="23" t="s">
        <v>157</v>
      </c>
      <c r="R316" s="2" t="s">
        <v>36</v>
      </c>
      <c r="S316" s="25">
        <f t="shared" si="256"/>
        <v>2506078.4808736732</v>
      </c>
      <c r="T316" s="25">
        <v>2020933.9248524492</v>
      </c>
      <c r="U316" s="25">
        <v>485144.55602122395</v>
      </c>
      <c r="V316" s="25">
        <f t="shared" si="257"/>
        <v>219474.66</v>
      </c>
      <c r="W316" s="25">
        <v>163099.38</v>
      </c>
      <c r="X316" s="25">
        <v>56375.28</v>
      </c>
      <c r="Y316" s="25">
        <f t="shared" si="258"/>
        <v>258446.85912632657</v>
      </c>
      <c r="Z316" s="25">
        <v>193536.02452755056</v>
      </c>
      <c r="AA316" s="25">
        <v>64910.834598775997</v>
      </c>
      <c r="AB316" s="25">
        <f t="shared" si="259"/>
        <v>16000</v>
      </c>
      <c r="AC316" s="25">
        <v>12748.37</v>
      </c>
      <c r="AD316" s="25">
        <v>3251.63</v>
      </c>
      <c r="AE316" s="25">
        <f t="shared" si="260"/>
        <v>3000000</v>
      </c>
      <c r="AF316" s="93"/>
      <c r="AG316" s="25">
        <f t="shared" si="261"/>
        <v>3000000</v>
      </c>
      <c r="AH316" s="30" t="s">
        <v>920</v>
      </c>
      <c r="AI316" s="72"/>
      <c r="AJ316" s="29">
        <v>0</v>
      </c>
      <c r="AK316" s="29">
        <v>0</v>
      </c>
    </row>
    <row r="317" spans="1:37" ht="283.5" x14ac:dyDescent="0.25">
      <c r="A317" s="2">
        <v>311</v>
      </c>
      <c r="B317" s="67">
        <v>116103</v>
      </c>
      <c r="C317" s="144">
        <v>393</v>
      </c>
      <c r="D317" s="67" t="s">
        <v>174</v>
      </c>
      <c r="E317" s="13" t="s">
        <v>165</v>
      </c>
      <c r="F317" s="119" t="s">
        <v>484</v>
      </c>
      <c r="G317" s="99" t="s">
        <v>1288</v>
      </c>
      <c r="H317" s="20" t="s">
        <v>1289</v>
      </c>
      <c r="I317" s="7" t="s">
        <v>1290</v>
      </c>
      <c r="J317" s="92" t="s">
        <v>1291</v>
      </c>
      <c r="K317" s="104">
        <v>43818</v>
      </c>
      <c r="L317" s="104">
        <v>44246</v>
      </c>
      <c r="M317" s="4">
        <f t="shared" si="262"/>
        <v>83.983862961789441</v>
      </c>
      <c r="N317" s="90" t="s">
        <v>359</v>
      </c>
      <c r="O317" s="2" t="s">
        <v>347</v>
      </c>
      <c r="P317" s="2" t="s">
        <v>347</v>
      </c>
      <c r="Q317" s="23" t="s">
        <v>157</v>
      </c>
      <c r="R317" s="2" t="s">
        <v>36</v>
      </c>
      <c r="S317" s="25">
        <f t="shared" si="256"/>
        <v>6662642.3300000001</v>
      </c>
      <c r="T317" s="25">
        <v>5372840.5599999996</v>
      </c>
      <c r="U317" s="25">
        <v>1289801.77</v>
      </c>
      <c r="V317" s="25">
        <f t="shared" si="257"/>
        <v>545363.37541297893</v>
      </c>
      <c r="W317" s="25">
        <v>403028.12</v>
      </c>
      <c r="X317" s="25">
        <v>142335.25541297899</v>
      </c>
      <c r="Y317" s="25">
        <f t="shared" si="258"/>
        <v>725235.3899999999</v>
      </c>
      <c r="Z317" s="25">
        <v>545120.19999999995</v>
      </c>
      <c r="AA317" s="25">
        <v>180115.19</v>
      </c>
      <c r="AB317" s="25">
        <f t="shared" si="259"/>
        <v>0</v>
      </c>
      <c r="AC317" s="25">
        <v>0</v>
      </c>
      <c r="AD317" s="25">
        <v>0</v>
      </c>
      <c r="AE317" s="25">
        <f t="shared" si="260"/>
        <v>7933241.0954129789</v>
      </c>
      <c r="AF317" s="93">
        <v>0</v>
      </c>
      <c r="AG317" s="25">
        <f t="shared" si="261"/>
        <v>7933241.0954129789</v>
      </c>
      <c r="AH317" s="30" t="s">
        <v>920</v>
      </c>
      <c r="AI317" s="72"/>
      <c r="AJ317" s="29">
        <v>0</v>
      </c>
      <c r="AK317" s="29">
        <v>0</v>
      </c>
    </row>
    <row r="318" spans="1:37" ht="92.25" customHeight="1" x14ac:dyDescent="0.25">
      <c r="A318" s="5">
        <v>312</v>
      </c>
      <c r="B318" s="67">
        <v>127534</v>
      </c>
      <c r="C318" s="123">
        <v>619</v>
      </c>
      <c r="D318" s="67" t="s">
        <v>689</v>
      </c>
      <c r="E318" s="13" t="s">
        <v>165</v>
      </c>
      <c r="F318" s="119" t="s">
        <v>1244</v>
      </c>
      <c r="G318" s="99" t="s">
        <v>1300</v>
      </c>
      <c r="H318" s="20" t="s">
        <v>1301</v>
      </c>
      <c r="I318" s="13" t="s">
        <v>459</v>
      </c>
      <c r="J318" s="92" t="s">
        <v>1302</v>
      </c>
      <c r="K318" s="104">
        <v>43490</v>
      </c>
      <c r="L318" s="104">
        <v>44372</v>
      </c>
      <c r="M318" s="4">
        <f t="shared" si="262"/>
        <v>83.983862775890657</v>
      </c>
      <c r="N318" s="90" t="s">
        <v>359</v>
      </c>
      <c r="O318" s="2" t="s">
        <v>347</v>
      </c>
      <c r="P318" s="2" t="s">
        <v>347</v>
      </c>
      <c r="Q318" s="23" t="s">
        <v>157</v>
      </c>
      <c r="R318" s="2" t="s">
        <v>36</v>
      </c>
      <c r="S318" s="25">
        <f t="shared" si="256"/>
        <v>8137225.3799999999</v>
      </c>
      <c r="T318" s="25">
        <v>6561963.3499999996</v>
      </c>
      <c r="U318" s="25">
        <v>1575262.03</v>
      </c>
      <c r="V318" s="25">
        <f t="shared" si="257"/>
        <v>0</v>
      </c>
      <c r="W318" s="25">
        <v>0</v>
      </c>
      <c r="X318" s="25">
        <v>0</v>
      </c>
      <c r="Y318" s="25">
        <f t="shared" si="258"/>
        <v>1551809.05</v>
      </c>
      <c r="Z318" s="25">
        <v>1157993.49</v>
      </c>
      <c r="AA318" s="25">
        <v>393815.56</v>
      </c>
      <c r="AB318" s="25">
        <f t="shared" si="259"/>
        <v>0</v>
      </c>
      <c r="AC318" s="25">
        <v>0</v>
      </c>
      <c r="AD318" s="25">
        <v>0</v>
      </c>
      <c r="AE318" s="25">
        <f t="shared" si="260"/>
        <v>9689034.4299999997</v>
      </c>
      <c r="AF318" s="93">
        <v>0</v>
      </c>
      <c r="AG318" s="25">
        <f t="shared" si="261"/>
        <v>9689034.4299999997</v>
      </c>
      <c r="AH318" s="30" t="s">
        <v>920</v>
      </c>
      <c r="AI318" s="72"/>
      <c r="AJ318" s="29"/>
      <c r="AK318" s="29"/>
    </row>
    <row r="319" spans="1:37" x14ac:dyDescent="0.25">
      <c r="AE319" s="259"/>
    </row>
    <row r="320" spans="1:37" x14ac:dyDescent="0.25">
      <c r="AE320" s="264"/>
    </row>
  </sheetData>
  <protectedRanges>
    <protectedRange sqref="A1:B4 I1:I2 AE1:AK4 A6:R6 AI208:AK208 AF206:AF208 T206:U208 W206:X208 Z207:AA208 AC206:AD208 B10:D13 Z10:AA13 W10:X13 T10:U13 AF10:AF13 B16:D16 T15:U16 W15:X16 Z15:AA16 AC15:AD16 AF15:AF16 B20:D20 X20 AA20 AC20:AD20 G288:L296 C284:D296 AF20 AF284:AF303 W31:X33 AF31:AF33 Z31:AA33 B31:D33 T63:U63 P37:P39 F38:F39 AC28:AD29 W41:X42 AJ63:XFD63 F65:L69 G76:G77 B75:D77 AF63 AC71:AD73 AF109 AF88 W28:X29 AC41:AD42 AL1:XFD6 J63:L63 T65:U69 Z82:AA84 AC88:AD88 AL37:XFD39 I37:L39 G37:G39 AF37:AF39 AF28:AF29 W44:X46 T41:U42 Z41:AA42 AF41:AF42 B53:U53 AJ71:XFD72 Z28:AA29 AH49:AH50 AI44:XFD53 N61:R61 B61:L61 AI73:XFD73 B54 AF52:AF53 AI86:XFD86 X76:X77 T75:U75 W75:X75 Z75:AA75 T88:U88 W88:X88 Z88:AA88 AC63:AD63 Z63:AA63 B93:D94 C95:D95 C97 AF96 F63:H63 AE6:AK6 AF75:AF77 B120:L120 F118:U118 Z108:AA109 W120:X127 T108:U109 W111:X112 AC134:AD135 AF134:AF135 AI101:XFD104 N106:AD106 AF106:AG106 C1:H3 C4:I4 G206:L207 C206:D208 U210 AL206:XFD208 F208:L208 F210:L210 W210:X222 T211:U222 AF210:AF222 G211:L212 AC210:AD222 Z210:AA219 AF23:AF24 AL288:XFD319 AC26:AD26 AI215:XFD215 B22:D24 C222:L222 C215:L215 C210:D214 C216:D221 F216:L221 G223:L223 C223:D223 T223:AG223 AC225:AD227 X52:AA52 F234 Z231:AA233 W224:X233 T224:U233 AF224:AF233 C231:D233 AC229:AD233 F231:L233 AI225:AK226 N101 B15:C15 B9:C9 E235:L238 Z120:AA127 AC120:AD127 N235:P239 F239:L242 C124:D124 AI237:AK237 N240:N242 AL65:XFD67 E243:L244 C121:D121 G245:L245 B79:B81 W82:X84 E246:L247 R248 F248:L249 C237:C266 D235:D266 F31:G31 R235:R244 S47:U47 W48:AA48 X47:AA47 G97:L97 AI93:XFD94 AF93:AF94 AL97:XFD97 T93:U96 F88:L88 S20:U20 N212:P233 R215:R233 G108 I108:L108 AL108:XFD108 F20:L20 F251:L265 I266:L266 AI250:AK250 AC51:AG51 X116:AA116 B117:D117 S116:U117 L116:L117 N116:Q117 W113:AA115 AL116:XFD117 G93:L94 P93:P94 B26:D26 J26:L26 N20:Q20 N26:Q26 F26:H26 F116:J117 AI95 AL95:XFD95 G47:L48 F95:L95 N15:N16 Z23:AA24 M48:U48 AC52:AD53 B63:D63 N88:Q88 N93:N94 AI96:XFD96 W93:AA96 N102:O102 N111:R111 F94 I101:L102 Q101:R102 T111:U112 G9:L11 F15:L16 Q15:Q16 AI15:AI16 AL15:XFD16 N243:P280 R251:R257 F267:L282 O281:P282 W302:X303 AF105 AC302:AD303 C105:D105 AL22:XFD26 F22:Q24 G284:L284 H287 B125:D125 G125:L125 G285:H286 R284:R303 C267:D282 AC235:AD282 Z236:AA282 AF235:AF282 W235:X282 T235:U282 G75:L75 S51:U52 AH288:AH289 AC44:AD48 T44:U46 Z44:AA46 AL43:XFD43 F285:F292 AI292:AK292 AC37:AD39 Z37:AA39 W37:X39 B44:D48 G105:L105 B28:D29 F28:L29 B41:D42 B60:D60 F60:L60 B99:D99 F99:L99 C118:D118 B122:D123 B127:D127 E240:E242 C126:D126 F126:L127 F124:L124 F111:L111 F101:G102 F213:L214 C224:L230 E43 C298:D303 W105:X105 T105:U105 AC105:AD105 Z105:AA105 F296:F303 G298:L303 N105:P105 T28:U29 B106:L106 W23:X24 P63 AI68:XFD69 AC82:AD84 AC75:AD77 AI10:XFD13 AI106:XFD106 T23:U24 AJ82:XFD83 AI32:XFD33 AI60:XFD61 AF60:AF61 N63 S1:AD6 AJ75:XFD77 W65:X69 B96:L96 AI88:XFD88 AC111:AD118 AI111:XFD115 T120:U127 AI120:XFD127 AF111:AF118 M124:R127 AF120:AF127 AI134:XFD135 W108:X109 AC108:AD109 U76:U77 M47:Q47 AH284:XFD287 M28:Q28 AI28:XFD29 AC23:AD24 G51:Q52 F41:R42 G113:U113 AI118:XFD118 F121:R121 F114:U115 J1:R4 E275 D297:E297 E250:L250 E266:G266 N60:Q60 F123:R123 F122:Q122 R261:R280 F305:F307 W53:AA53 AF104:AG104 N104:AD104 B104:L104 N284:P303 Z284:AA303 AC284:AD300 T284:U303 W284:X300 I285:L287 B111:D112 I112:L112 F112:G112 Z111:AA112 B134:D135 W134:AA135 F134:U135 B49:U49 B50:D52 F50:U50 G44:R46 F132:F133 AI221:XFD222 T31:U33 AF71:AF73 B71:D73 F71:L73 N71:N73 Q73 N75:N77 I76:L77 T71:U73 AC86:AD86 Z71:AA73 Z65:AA69 AC65:AD69 AF65:AF69 B65:D69 N68:R69 W63:X63 W71:X73 AC60:AD61 T60:U61 W60:AA61 AJ105:XFD105 T99:U99 AF99 W99:AA99 AI99:XFD99 N99:R99 AI109:XFD109 E32:G33 U82:U84 B88:D90 F89:G90 I89:L90 T89 W89 Z89 N89:O90 AC31:AD33 N120 P120:Q120 B108:D109 F109:H109 J109:L109 R108 AC93:AD96 N95:Q96 B101:D103 F103:L103 C113:D116 F12:L13 AC10:AD13 W49:AD49 AF44:AF50 W50:AA51 AC50:AD50 M29:R29 W117:AA118 AC132:AD132 AI212 AL211:XFD212 AI214 AL214:XFD214 AI216:AI220 AL216:XFD220 AL223:XFD282 AI223:AI224 AI230:AK230 AI227:AI229 AI231:AI233 AI235:AI236 AI239:AK239 AI238 AI241:AK242 AI240 AI243:AI244 AI246:AI249 AI253:AK253 AI251:AI252 AI259:AK259 AI254:AI258 AI260:AI264 AI268:AI269 AI270:AK274 AH275:AK282 AH290:AI291 AJ288:AK291 AH293:AK303 AI304:AK304 T37:U39 B37:D39 O21 Q21 N82:N84 F82:L84 P82:Q84 B82:D84 AF82:AF84 A320:XFD1048576 AI265:AK267 AI20:XFD20 AI84:XFD84 AA76:AA77 AJ210:XFD210 AI41:XFD42 AJ31:XFD31 AI213:XFD213 AJ89:XFD90 J31:L33 AC99:AD99 AC101:AD103 T101:U103 N103:R103 Z101:AA103 AF101:AF103 W101:X103 F309:F319" name="maria" securityDescriptor="O:WDG:WDD:(A;;CC;;;S-1-5-21-3048853270-2157241324-869001692-3245)(A;;CC;;;S-1-5-21-3048853270-2157241324-869001692-1007)"/>
    <protectedRange sqref="Q208 S240 Q212:Q233 Q235:Q282 Q105 Q284:Q303" name="maria_1" securityDescriptor="O:WDG:WDD:(A;;CC;;;S-1-5-21-3048853270-2157241324-869001692-3245)(A;;CC;;;S-1-5-21-3048853270-2157241324-869001692-1007)"/>
    <protectedRange sqref="E8 E14 E17:E18 E25 E27 E30 E34:E35 E40:E41 E62 E64 E70 E74 E78:E79 E85:E87 E91:E92 E97:E98 E100 E107 E110 E119 E128:E130 E186:E188 E245 E105 A7:P7 E45 E54:E59 AJ7:XFD7 A318:A319 A9:A10 A12:A13 A15:A16 A18:A19 A21:A22 A24:A25 A27:A28 A30:A31 A33:A34 A36:A37 A39:A40 A42:A43 A45:A46 A48:A49 A51:A52 A54:A55 A57:A58 A60:A61 A63:A64 A66:A67 A69:A70 A72:A73 A75:A76 A78:A79 A81:A82 A84:A85 A87:A88 A90:A91 A93:A94 A96:A97 A99:A100 A102:A103 A105:A106 A108:A109 A111:A112 A114:A115 A117:A118 A120:A121 A123:A124 A126:A127 A129:A130 A132:A133 A135:A136 A138:A139 A141:A142 A144:A145 A147:A148 A150:A151 A153:A154 A156:A157 A159:A160 A162:A163 A165:A166 A168:A169 A171:A172 A174:A175 A177:A178 A180:A181 A183:A184 A186:A187 A189:A190 A192:A193 A195:A196 A198:A199 A201:A202 A204:A205 A207:A208 A210:A211 A213:A214 A216:A217 A219:A220 A222:A223 A225:A226 A228:A229 A231:A232 A234:A235 A237:A238 A240:A241 A243:A244 A246:A247 A249:A250 A252:A253 A255:A256 A258:A259 A261:A262 A264:A265 A267:A268 A270:A271 A273:A274 A276:A277 A279:A280 A282:A283 A285:A286 A288:A289 A291:A292 A294:A295 A297:A298 A300:A301 A303:A304 A306:A307 A309:A310 A312:A313 A315:A316" name="maria_2" securityDescriptor="O:WDG:WDD:(A;;CC;;;S-1-5-21-3048853270-2157241324-869001692-3245)(A;;CC;;;S-1-5-21-3048853270-2157241324-869001692-1007)"/>
    <protectedRange sqref="Q7:R7" name="maria_1_2" securityDescriptor="O:WDG:WDD:(A;;CC;;;S-1-5-21-3048853270-2157241324-869001692-3245)(A;;CC;;;S-1-5-21-3048853270-2157241324-869001692-1007)"/>
    <protectedRange sqref="S7:AI7 AH292 AB8:AB13 AH8:AH42 AH44:AH48 AH51:AH274" name="maria_1_1_1" securityDescriptor="O:WDG:WDD:(A;;CC;;;S-1-5-21-3048853270-2157241324-869001692-3245)(A;;CC;;;S-1-5-21-3048853270-2157241324-869001692-1007)"/>
    <protectedRange sqref="AF8:AF9 T8:U9 W8:X9 Z8:AA9 A8:D8 AC8:AD9 M9 F105 AI105 F8:P8 AI288:AI289 N9:P13 AI8:XFD9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A311 A314 A317" name="maria_3" securityDescriptor="O:WDG:WDD:(A;;CC;;;S-1-5-21-3048853270-2157241324-869001692-3245)(A;;CC;;;S-1-5-21-3048853270-2157241324-869001692-1007)"/>
    <protectedRange sqref="Q8:R9 R105 R36 R60 R80:R81 R117 R122 R200 R258:R260 R282 Q10:Q13" name="maria_1_3" securityDescriptor="O:WDG:WDD:(A;;CC;;;S-1-5-21-3048853270-2157241324-869001692-3245)(A;;CC;;;S-1-5-21-3048853270-2157241324-869001692-1007)"/>
    <protectedRange sqref="AE20 S8:S13 V8:V13 Y8:Y13 AE8:AE13 AG8:AG13" name="maria_1_1_2" securityDescriptor="O:WDG:WDD:(A;;CC;;;S-1-5-21-3048853270-2157241324-869001692-3245)(A;;CC;;;S-1-5-21-3048853270-2157241324-869001692-1007)"/>
    <protectedRange sqref="AL14:XFD14 AF14 T14:U14 W14:X14 Z14:AD14 B14:D14 AB15:AB16 D9 D15 M15:M16 O15:P16 AJ15:AK16 F9 F14:P14" name="maria_4" securityDescriptor="O:WDG:WDD:(A;;CC;;;S-1-5-21-3048853270-2157241324-869001692-3245)(A;;CC;;;S-1-5-21-3048853270-2157241324-869001692-1007)"/>
    <protectedRange sqref="Q14:R14 R26 R15:R16 R10:R13 R20:R24" name="maria_1_4" securityDescriptor="O:WDG:WDD:(A;;CC;;;S-1-5-21-3048853270-2157241324-869001692-3245)(A;;CC;;;S-1-5-21-3048853270-2157241324-869001692-1007)"/>
    <protectedRange sqref="S14:S16 V14:V16 Y14:Y16 AE14:AE16 AG14:AG16 AI14" name="maria_1_1_3" securityDescriptor="O:WDG:WDD:(A;;CC;;;S-1-5-21-3048853270-2157241324-869001692-3245)(A;;CC;;;S-1-5-21-3048853270-2157241324-869001692-1007)"/>
    <protectedRange sqref="AF18:AF19 B17:B19 F17 T18:U18 W18:X19 Z18:AA19 AC18:AD19 AI18 C19:L19 U19 N18:P19 E16 E10:F11 E29 E42 E44 E60 E66 E93:E94 E99 E118 E123 E125:F125 E127 C18:D18 F18:L18 E112:E113 E50:E52 E46:E48 E82:E84 AJ19:XFD19 E71:E73 E88:E90 E108:E109 E102:E103 E115:E116 M10:M13 AL18:XFD18 E23:E24 E37:E39 E63 E68:E69 E75:E77 E131:E135" name="maria_5" securityDescriptor="O:WDG:WDD:(A;;CC;;;S-1-5-21-3048853270-2157241324-869001692-3245)(A;;CC;;;S-1-5-21-3048853270-2157241324-869001692-1007)"/>
    <protectedRange sqref="AE18:AE19 AE23:AE24 Q18:R19 AE26" name="maria_1_5" securityDescriptor="O:WDG:WDD:(A;;CC;;;S-1-5-21-3048853270-2157241324-869001692-3245)(A;;CC;;;S-1-5-21-3048853270-2157241324-869001692-1007)"/>
    <protectedRange sqref="C17:D17 G17:H17 S18:S19 V18:V20 Y18:Y20 AB18:AB20 AG18:AG20 S23:S24 Y23:Y24 AB23:AB24 AG23:AG24 V23:V24 AB26 AG26 M18:M21 T19 W20 Z20 V26:W26 Y26:Z26 J17:AG17 AI17:XFD17 S26:T26" name="maria_1_1_4" securityDescriptor="O:WDG:WDD:(A;;CC;;;S-1-5-21-3048853270-2157241324-869001692-3245)(A;;CC;;;S-1-5-21-3048853270-2157241324-869001692-1007)"/>
    <protectedRange sqref="B27:D27 AJ22:AK24 I26 AJ26:AK26 F27:P27 M26 AJ27:XFD27 B25:D25 F25:P25 I31:I33" name="maria_6" securityDescriptor="O:WDG:WDD:(A;;CC;;;S-1-5-21-3048853270-2157241324-869001692-3245)(A;;CC;;;S-1-5-21-3048853270-2157241324-869001692-1007)"/>
    <protectedRange sqref="Q27:R27 Q25:R25 R28" name="maria_1_6" securityDescriptor="O:WDG:WDD:(A;;CC;;;S-1-5-21-3048853270-2157241324-869001692-3245)(A;;CC;;;S-1-5-21-3048853270-2157241324-869001692-1007)"/>
    <protectedRange sqref="S27:AG27 X26 AA26 AF26 S22:AG22 S25:AG25 AI19 AI22:AI27 U26 AB29 AE29 AG29 V29 S29 Y29" name="maria_1_1_5" securityDescriptor="O:WDG:WDD:(A;;CC;;;S-1-5-21-3048853270-2157241324-869001692-3245)(A;;CC;;;S-1-5-21-3048853270-2157241324-869001692-1007)"/>
    <protectedRange sqref="AL34:XFD34 B34:D34 F34:P34 O35:O39 M35:M39" name="maria_8" securityDescriptor="O:WDG:WDD:(A;;CC;;;S-1-5-21-3048853270-2157241324-869001692-3245)(A;;CC;;;S-1-5-21-3048853270-2157241324-869001692-1007)"/>
    <protectedRange sqref="Q34:R34" name="maria_1_8" securityDescriptor="O:WDG:WDD:(A;;CC;;;S-1-5-21-3048853270-2157241324-869001692-3245)(A;;CC;;;S-1-5-21-3048853270-2157241324-869001692-1007)"/>
    <protectedRange sqref="S34:U34 W34:AA34 AC34:AG34 AG44:AG50 AI34 AG105 AG224:AG282 AG35:AG42 AG284:AG303 AG52:AG85 AG87:AG103 AG107:AG222 AG305:AG319" name="maria_1_1_7" securityDescriptor="O:WDG:WDD:(A;;CC;;;S-1-5-21-3048853270-2157241324-869001692-3245)(A;;CC;;;S-1-5-21-3048853270-2157241324-869001692-1007)"/>
    <protectedRange sqref="AF35:AF36 T35:U36 W35:X36 Z35:AA36 AC35:AD36 P35:P36 B35:D36 F35:L36 AI35 AL35:XFD36 N35:N39 AI36:AK39 H37:H39" name="maria_9" securityDescriptor="O:WDG:WDD:(A;;CC;;;S-1-5-21-3048853270-2157241324-869001692-3245)(A;;CC;;;S-1-5-21-3048853270-2157241324-869001692-1007)"/>
    <protectedRange sqref="Q35:R35 Q36:Q39" name="maria_1_9" securityDescriptor="O:WDG:WDD:(A;;CC;;;S-1-5-21-3048853270-2157241324-869001692-3245)(A;;CC;;;S-1-5-21-3048853270-2157241324-869001692-1007)"/>
    <protectedRange sqref="Y35:Y39 AE35:AE39 S35:S39 AE49:AE50" name="maria_1_1_8" securityDescriptor="O:WDG:WDD:(A;;CC;;;S-1-5-21-3048853270-2157241324-869001692-3245)(A;;CC;;;S-1-5-21-3048853270-2157241324-869001692-1007)"/>
    <protectedRange sqref="AI40 AF40 T40:U40 W40:X40 Z40:AA40 B40:D40 AC40:AD40 F40:P40 AL40:XFD40" name="maria_10" securityDescriptor="O:WDG:WDD:(A;;CC;;;S-1-5-21-3048853270-2157241324-869001692-3245)(A;;CC;;;S-1-5-21-3048853270-2157241324-869001692-1007)"/>
    <protectedRange sqref="Q40:R40 R37:R39" name="maria_1_10" securityDescriptor="O:WDG:WDD:(A;;CC;;;S-1-5-21-3048853270-2157241324-869001692-3245)(A;;CC;;;S-1-5-21-3048853270-2157241324-869001692-1007)"/>
    <protectedRange sqref="S40:S42 Y40:Y42 AE40:AE42 Y44:Y46 AE44:AE48 S44:S46 AE52:AE53" name="maria_1_1_9" securityDescriptor="O:WDG:WDD:(A;;CC;;;S-1-5-21-3048853270-2157241324-869001692-3245)(A;;CC;;;S-1-5-21-3048853270-2157241324-869001692-1007)"/>
    <protectedRange sqref="AI54 AF54 T54:U54 W54:X54 Z54:AA54 C54:D54 AC54:AD54 AL54:XFD54 F54:P54" name="maria_11" securityDescriptor="O:WDG:WDD:(A;;CC;;;S-1-5-21-3048853270-2157241324-869001692-3245)(A;;CC;;;S-1-5-21-3048853270-2157241324-869001692-1007)"/>
    <protectedRange sqref="Q54:R54 R47 R51:R52 R75:R77" name="maria_1_11" securityDescriptor="O:WDG:WDD:(A;;CC;;;S-1-5-21-3048853270-2157241324-869001692-3245)(A;;CC;;;S-1-5-21-3048853270-2157241324-869001692-1007)"/>
    <protectedRange sqref="Y54:Y55 S54:S58 AE54:AE58" name="maria_1_1_10" securityDescriptor="O:WDG:WDD:(A;;CC;;;S-1-5-21-3048853270-2157241324-869001692-3245)(A;;CC;;;S-1-5-21-3048853270-2157241324-869001692-1007)"/>
    <protectedRange sqref="B55:D55 W55:X55 AI55 AC55:AD55 T55:U55 Z55:AA55 AF55 F55:R55 AL55:XFD55 M56:M58" name="maria_12" securityDescriptor="O:WDG:WDD:(A;;CC;;;S-1-5-21-3048853270-2157241324-869001692-3245)(A;;CC;;;S-1-5-21-3048853270-2157241324-869001692-1007)"/>
    <protectedRange sqref="AF56 T56:U56 W56:X56 Z56:AA56 B56:D56 AC56:AD56 N56:P56 F56:L56 AI56:XFD56" name="maria_13" securityDescriptor="O:WDG:WDD:(A;;CC;;;S-1-5-21-3048853270-2157241324-869001692-3245)(A;;CC;;;S-1-5-21-3048853270-2157241324-869001692-1007)"/>
    <protectedRange sqref="Q56:R56" name="maria_1_12" securityDescriptor="O:WDG:WDD:(A;;CC;;;S-1-5-21-3048853270-2157241324-869001692-3245)(A;;CC;;;S-1-5-21-3048853270-2157241324-869001692-1007)"/>
    <protectedRange sqref="Y56" name="maria_1_1_11" securityDescriptor="O:WDG:WDD:(A;;CC;;;S-1-5-21-3048853270-2157241324-869001692-3245)(A;;CC;;;S-1-5-21-3048853270-2157241324-869001692-1007)"/>
    <protectedRange sqref="AI58:XFD58 B57:D58 F57:L58 AI57 AL57:XFD57 N57:P58 AC57:AD58 Z57:AA58 W57:X58 T57:U58 AF57:AF58" name="maria_14" securityDescriptor="O:WDG:WDD:(A;;CC;;;S-1-5-21-3048853270-2157241324-869001692-3245)(A;;CC;;;S-1-5-21-3048853270-2157241324-869001692-1007)"/>
    <protectedRange sqref="Q57:R58" name="maria_1_13" securityDescriptor="O:WDG:WDD:(A;;CC;;;S-1-5-21-3048853270-2157241324-869001692-3245)(A;;CC;;;S-1-5-21-3048853270-2157241324-869001692-1007)"/>
    <protectedRange sqref="Y57:Y58" name="maria_1_1_12" securityDescriptor="O:WDG:WDD:(A;;CC;;;S-1-5-21-3048853270-2157241324-869001692-3245)(A;;CC;;;S-1-5-21-3048853270-2157241324-869001692-1007)"/>
    <protectedRange sqref="AI59 AF59 T59:U59 W59:X59 Z59:AA59 B59:D59 AC59:AD59 F59:P59 AL59:XFD59 M60:M61" name="maria_15" securityDescriptor="O:WDG:WDD:(A;;CC;;;S-1-5-21-3048853270-2157241324-869001692-3245)(A;;CC;;;S-1-5-21-3048853270-2157241324-869001692-1007)"/>
    <protectedRange sqref="Q59:R59" name="maria_1_14" securityDescriptor="O:WDG:WDD:(A;;CC;;;S-1-5-21-3048853270-2157241324-869001692-3245)(A;;CC;;;S-1-5-21-3048853270-2157241324-869001692-1007)"/>
    <protectedRange sqref="Y59 S59:S61 AE59:AE61" name="maria_1_1_13" securityDescriptor="O:WDG:WDD:(A;;CC;;;S-1-5-21-3048853270-2157241324-869001692-3245)(A;;CC;;;S-1-5-21-3048853270-2157241324-869001692-1007)"/>
    <protectedRange sqref="AF62 B62:D62 W62:AA62 AC62:AD62 I63 F62:U62 M63 L100 L128 AL62:XFD62 Q63:S63 O63 AI62:AI63 Y63" name="maria_16" securityDescriptor="O:WDG:WDD:(A;;CC;;;S-1-5-21-3048853270-2157241324-869001692-3245)(A;;CC;;;S-1-5-21-3048853270-2157241324-869001692-1007)"/>
    <protectedRange sqref="AE62:AE63" name="maria_1_15" securityDescriptor="O:WDG:WDD:(A;;CC;;;S-1-5-21-3048853270-2157241324-869001692-3245)(A;;CC;;;S-1-5-21-3048853270-2157241324-869001692-1007)"/>
    <protectedRange sqref="B70:D70 W70:AA70 AC70:AF70 Y71:Y73 O71:S72 AE224:AE282 AE284:AE303 AI71:AI72 O73:P73 F70:U70 L140 AI70:XFD70 R73:S73 M71:M73 AE71:AE222 AE305:AE319" name="maria_17" securityDescriptor="O:WDG:WDD:(A;;CC;;;S-1-5-21-3048853270-2157241324-869001692-3245)(A;;CC;;;S-1-5-21-3048853270-2157241324-869001692-1007)"/>
    <protectedRange sqref="AL64:XFD64 B64:D64 AJ65:AK67 N67:P67 F64:L64 M64:P66 M67:M69" name="maria_18" securityDescriptor="O:WDG:WDD:(A;;CC;;;S-1-5-21-3048853270-2157241324-869001692-3245)(A;;CC;;;S-1-5-21-3048853270-2157241324-869001692-1007)"/>
    <protectedRange sqref="Q64:R67" name="maria_1_16" securityDescriptor="O:WDG:WDD:(A;;CC;;;S-1-5-21-3048853270-2157241324-869001692-3245)(A;;CC;;;S-1-5-21-3048853270-2157241324-869001692-1007)"/>
    <protectedRange sqref="S64:U64 W64:AA64 AC64:AF64 AI64:AI67 Y65:Y69 AE65:AE69 S65:S69" name="maria_1_1_14" securityDescriptor="O:WDG:WDD:(A;;CC;;;S-1-5-21-3048853270-2157241324-869001692-3245)(A;;CC;;;S-1-5-21-3048853270-2157241324-869001692-1007)"/>
    <protectedRange sqref="AI78 AF78 T78:U78 W78:X78 Z78:AA78 C78:D78 AC78:AD78 O79:P81 F78:P78 AL78:XFD78 O82:O84" name="maria_19" securityDescriptor="O:WDG:WDD:(A;;CC;;;S-1-5-21-3048853270-2157241324-869001692-3245)(A;;CC;;;S-1-5-21-3048853270-2157241324-869001692-1007)"/>
    <protectedRange sqref="Q78:R78" name="maria_1_17" securityDescriptor="O:WDG:WDD:(A;;CC;;;S-1-5-21-3048853270-2157241324-869001692-3245)(A;;CC;;;S-1-5-21-3048853270-2157241324-869001692-1007)"/>
    <protectedRange sqref="S78:S84 T82:T84 Y78:Y84" name="maria_1_1_15" securityDescriptor="O:WDG:WDD:(A;;CC;;;S-1-5-21-3048853270-2157241324-869001692-3245)(A;;CC;;;S-1-5-21-3048853270-2157241324-869001692-1007)"/>
    <protectedRange sqref="AF74 T74:U74 W74:X74 Z74:AA74 B74:D74 AC74:AD74 B78 O75:P77 M75:M77 F74:P74 H76:H77 AI75:AI77 AI74:XFD74" name="maria_20" securityDescriptor="O:WDG:WDD:(A;;CC;;;S-1-5-21-3048853270-2157241324-869001692-3245)(A;;CC;;;S-1-5-21-3048853270-2157241324-869001692-1007)"/>
    <protectedRange sqref="Q74:R74 Q75:Q77" name="maria_1_18" securityDescriptor="O:WDG:WDD:(A;;CC;;;S-1-5-21-3048853270-2157241324-869001692-3245)(A;;CC;;;S-1-5-21-3048853270-2157241324-869001692-1007)"/>
    <protectedRange sqref="Y74:Y77 Z76:Z77 T76:T77 S74:S77" name="maria_1_1_16" securityDescriptor="O:WDG:WDD:(A;;CC;;;S-1-5-21-3048853270-2157241324-869001692-3245)(A;;CC;;;S-1-5-21-3048853270-2157241324-869001692-1007)"/>
    <protectedRange sqref="AL87:XFD87 B87:D87 M88:M90 B95 B97:B98 B91:B92 F87:P87 H89:H90 P89:P90" name="maria_21" securityDescriptor="O:WDG:WDD:(A;;CC;;;S-1-5-21-3048853270-2157241324-869001692-3245)(A;;CC;;;S-1-5-21-3048853270-2157241324-869001692-1007)"/>
    <protectedRange sqref="Q87:R87 Q89:Q90" name="maria_1_19" securityDescriptor="O:WDG:WDD:(A;;CC;;;S-1-5-21-3048853270-2157241324-869001692-3245)(A;;CC;;;S-1-5-21-3048853270-2157241324-869001692-1007)"/>
    <protectedRange sqref="S87:U87 W87:AA87 AF87 AI87 AC87:AD87 Y88:Y89 X89 S88:S89 U89 AA89 AI89:AI90 S90:U90 W90:AA90 AF89:AF90 AC89:AD90" name="maria_1_1_17" securityDescriptor="O:WDG:WDD:(A;;CC;;;S-1-5-21-3048853270-2157241324-869001692-3245)(A;;CC;;;S-1-5-21-3048853270-2157241324-869001692-1007)"/>
    <protectedRange sqref="B85:D85 P85 F85:N85 M86 AJ85:XFD85" name="maria_22" securityDescriptor="O:WDG:WDD:(A;;CC;;;S-1-5-21-3048853270-2157241324-869001692-3245)(A;;CC;;;S-1-5-21-3048853270-2157241324-869001692-1007)"/>
    <protectedRange sqref="Q85:R85" name="maria_1_20" securityDescriptor="O:WDG:WDD:(A;;CC;;;S-1-5-21-3048853270-2157241324-869001692-3245)(A;;CC;;;S-1-5-21-3048853270-2157241324-869001692-1007)"/>
    <protectedRange sqref="S85:U85 W85:AA85 AC85:AD85 AI85 AF85:AF86 S86 Y86" name="maria_1_1_18" securityDescriptor="O:WDG:WDD:(A;;CC;;;S-1-5-21-3048853270-2157241324-869001692-3245)(A;;CC;;;S-1-5-21-3048853270-2157241324-869001692-1007)"/>
    <protectedRange sqref="AF91:AF92 U91:U92 W91:X92 Z91:AA92 AC91:AD92 F93 M93:M94 O93:O94 C91:D92 F91:P92 AI91:AI92 AL91:XFD92" name="maria_23" securityDescriptor="O:WDG:WDD:(A;;CC;;;S-1-5-21-3048853270-2157241324-869001692-3245)(A;;CC;;;S-1-5-21-3048853270-2157241324-869001692-1007)"/>
    <protectedRange sqref="Q91:R94" name="maria_1_21" securityDescriptor="O:WDG:WDD:(A;;CC;;;S-1-5-21-3048853270-2157241324-869001692-3245)(A;;CC;;;S-1-5-21-3048853270-2157241324-869001692-1007)"/>
    <protectedRange sqref="S91:T92 Y91:Y92 S93:S96" name="maria_1_1_19" securityDescriptor="O:WDG:WDD:(A;;CC;;;S-1-5-21-3048853270-2157241324-869001692-3245)(A;;CC;;;S-1-5-21-3048853270-2157241324-869001692-1007)"/>
    <protectedRange sqref="C98:D98 D97 AI97 AF97:AF98 T97:U98 W97:X98 Z97:AA98 M97:P97 AC97:AD98 AJ95:AK95 AF95 AI98:XFD98 M95:M96 F97 F98:P98 M99 M103" name="maria_24" securityDescriptor="O:WDG:WDD:(A;;CC;;;S-1-5-21-3048853270-2157241324-869001692-3245)(A;;CC;;;S-1-5-21-3048853270-2157241324-869001692-1007)"/>
    <protectedRange sqref="Q97:R98 R95:R96" name="maria_1_22" securityDescriptor="O:WDG:WDD:(A;;CC;;;S-1-5-21-3048853270-2157241324-869001692-3245)(A;;CC;;;S-1-5-21-3048853270-2157241324-869001692-1007)"/>
    <protectedRange sqref="Y97:Y98 S97:S99 S103" name="maria_1_1_20" securityDescriptor="O:WDG:WDD:(A;;CC;;;S-1-5-21-3048853270-2157241324-869001692-3245)(A;;CC;;;S-1-5-21-3048853270-2157241324-869001692-1007)"/>
    <protectedRange sqref="AI107 T107:U107 W107:X107 Z107:AA107 B107:D107 AC107:AD107 B110 B118:B119 B121 B126 B124 H108 F108 AF107:AF108 AI108:AK108 F107:P107 F113 M108:P109 I109 B113:B116 AL107:XFD107" name="maria_25" securityDescriptor="O:WDG:WDD:(A;;CC;;;S-1-5-21-3048853270-2157241324-869001692-3245)(A;;CC;;;S-1-5-21-3048853270-2157241324-869001692-1007)"/>
    <protectedRange sqref="Q107:R107 Q108:Q109 R109" name="maria_1_23" securityDescriptor="O:WDG:WDD:(A;;CC;;;S-1-5-21-3048853270-2157241324-869001692-3245)(A;;CC;;;S-1-5-21-3048853270-2157241324-869001692-1007)"/>
    <protectedRange sqref="S107:S109 Y107:Y109" name="maria_1_1_21" securityDescriptor="O:WDG:WDD:(A;;CC;;;S-1-5-21-3048853270-2157241324-869001692-3245)(A;;CC;;;S-1-5-21-3048853270-2157241324-869001692-1007)"/>
    <protectedRange sqref="AF30 T30:U30 W30:X30 Z30:AD30 B30:D30 AB44:AB48 AI30:AI31 AB28 AB31:AB42 F30:P30 R30:R33 M31:P33 AL30:XFD30 H31:H33 AB50:AB103 AB107:AB144" name="maria_26" securityDescriptor="O:WDG:WDD:(A;;CC;;;S-1-5-21-3048853270-2157241324-869001692-3245)(A;;CC;;;S-1-5-21-3048853270-2157241324-869001692-1007)"/>
    <protectedRange sqref="Q30:Q33" name="maria_1_24" securityDescriptor="O:WDG:WDD:(A;;CC;;;S-1-5-21-3048853270-2157241324-869001692-3245)(A;;CC;;;S-1-5-21-3048853270-2157241324-869001692-1007)"/>
    <protectedRange sqref="W76:W77 W47 S28 V28 AE28 AG28 Y28 W116 W52 V30:V42 Y30:Y33 AE30:AE33 AG30:AG33 S30:S33 V44:V103 V107:V135" name="maria_1_1_22" securityDescriptor="O:WDG:WDD:(A;;CC;;;S-1-5-21-3048853270-2157241324-869001692-3245)(A;;CC;;;S-1-5-21-3048853270-2157241324-869001692-1007)"/>
    <protectedRange sqref="B128:D128 W128:AA128 AF128 AI128 AC128:AD128 M129:M133 Y129:Y133 F245 F128:K128 M128:U128 AL128:XFD128 S129:S133" name="maria_28" securityDescriptor="O:WDG:WDD:(A;;CC;;;S-1-5-21-3048853270-2157241324-869001692-3245)(A;;CC;;;S-1-5-21-3048853270-2157241324-869001692-1007)"/>
    <protectedRange sqref="AF129:AF133 F75:F77 AI131:XFD133 B129:D133 AC129:AD131 F37 F44:F48 F51:F52 Z129:AA133 AC133:AD133 F129:L131 N129:P133 G132:L133 W129:X133 T129:U133 AI129:AI130 AL129:XFD130" name="maria_29" securityDescriptor="O:WDG:WDD:(A;;CC;;;S-1-5-21-3048853270-2157241324-869001692-3245)(A;;CC;;;S-1-5-21-3048853270-2157241324-869001692-1007)"/>
    <protectedRange sqref="R88:R90 R82:R84 Q129:R133" name="maria_1_25" securityDescriptor="O:WDG:WDD:(A;;CC;;;S-1-5-21-3048853270-2157241324-869001692-3245)(A;;CC;;;S-1-5-21-3048853270-2157241324-869001692-1007)"/>
    <protectedRange sqref="AI119 AF119 T119:U119 W119:X119 Z119:AA119 C119:D119 K116:K117 AI116:AK117 AL119:XFD119 M116:M117 F119:P119 O120 M120" name="maria_30" securityDescriptor="O:WDG:WDD:(A;;CC;;;S-1-5-21-3048853270-2157241324-869001692-3245)(A;;CC;;;S-1-5-21-3048853270-2157241324-869001692-1007)"/>
    <protectedRange sqref="Q119:R119 R116 R120" name="maria_1_26" securityDescriptor="O:WDG:WDD:(A;;CC;;;S-1-5-21-3048853270-2157241324-869001692-3245)(A;;CC;;;S-1-5-21-3048853270-2157241324-869001692-1007)"/>
    <protectedRange sqref="Y119:Y127 S119:S127" name="maria_1_1_24" securityDescriptor="O:WDG:WDD:(A;;CC;;;S-1-5-21-3048853270-2157241324-869001692-3245)(A;;CC;;;S-1-5-21-3048853270-2157241324-869001692-1007)"/>
    <protectedRange sqref="AI110 AF110 T110:U110 W110:X110 Z110:AA110 C110:D110 AC110:AD110 M101:M102 F110:P110 M104 H112 N112:P112 AL110:XFD110 M106 M111:M112" name="maria_31" securityDescriptor="O:WDG:WDD:(A;;CC;;;S-1-5-21-3048853270-2157241324-869001692-3245)(A;;CC;;;S-1-5-21-3048853270-2157241324-869001692-1007)"/>
    <protectedRange sqref="Q110:R110 Q112:R112" name="maria_1_27" securityDescriptor="O:WDG:WDD:(A;;CC;;;S-1-5-21-3048853270-2157241324-869001692-3245)(A;;CC;;;S-1-5-21-3048853270-2157241324-869001692-1007)"/>
    <protectedRange sqref="S101 Y101 S110:S112 Y110:Y112" name="maria_1_1_25" securityDescriptor="O:WDG:WDD:(A;;CC;;;S-1-5-21-3048853270-2157241324-869001692-3245)(A;;CC;;;S-1-5-21-3048853270-2157241324-869001692-1007)"/>
    <protectedRange sqref="B100 F100" name="maria_32" securityDescriptor="O:WDG:WDD:(A;;CC;;;S-1-5-21-3048853270-2157241324-869001692-3245)(A;;CC;;;S-1-5-21-3048853270-2157241324-869001692-1007)"/>
    <protectedRange sqref="C100:D100 G100:H100 W100:AA100 AF100 AI100 AC100:AD100 S102 O101:P101 H101:H102 P102 J100:K100 M100:U100 AL100:XFD100 Y102:Y103" name="maria_1_28" securityDescriptor="O:WDG:WDD:(A;;CC;;;S-1-5-21-3048853270-2157241324-869001692-3245)(A;;CC;;;S-1-5-21-3048853270-2157241324-869001692-1007)"/>
    <protectedRange sqref="C180:H180 C137:H172 C181:I184 J172:L172 T138:U184 W154:X184 Z154:AA184 I137:L139 AF136:AF184 AC136:AD184 W137:AA153 N138:R184 N137:U137 V137:V222 Y154:Y222 AB145:AB222 B137:B233 C235:C236 S138:S239 C173:L179 Y105 AB105 M105 M137:M282 S241:S282 AB224:AB282 Y225:Y282 V224:V282 B237:B282 B105 S105 V105 J180:L184 B298:B304 B136:AA136 V284:V303 S284:S303 B284:B296 M284:M303 AB284:AB303 Y284:Y303 I141:L171 I140:K140 AI136 AL136:XFD136 AI137:XFD184 S305:S319 V305:V319 Y305:Y319 AB305:AB319 M305:M319" name="maria_33" securityDescriptor="O:WDG:WDD:(A;;CC;;;S-1-5-21-3048853270-2157241324-869001692-3245)(A;;CC;;;S-1-5-21-3048853270-2157241324-869001692-1007)"/>
    <protectedRange sqref="AI185 AF185 T185:U185 W185:X185 Z185:AA185 C185:L185 AC185:AD185 N185:P185 E255:E258 AL185:XFD185" name="maria_34" securityDescriptor="O:WDG:WDD:(A;;CC;;;S-1-5-21-3048853270-2157241324-869001692-3245)(A;;CC;;;S-1-5-21-3048853270-2157241324-869001692-1007)"/>
    <protectedRange sqref="Q185:R185" name="maria_1_29" securityDescriptor="O:WDG:WDD:(A;;CC;;;S-1-5-21-3048853270-2157241324-869001692-3245)(A;;CC;;;S-1-5-21-3048853270-2157241324-869001692-1007)"/>
    <protectedRange sqref="O186:P186 R186:R188 O188:P188 AF186:AF188 T186:U188 W186:X188 Z186 AA186:AA187 Z188:AA188 AC186:AD188 N186:N188 AI245 R245:R247 R249:R250 C186:D188 F186:L188 AI186:AI188 AL186:XFD188" name="maria_35" securityDescriptor="O:WDG:WDD:(A;;CC;;;S-1-5-21-3048853270-2157241324-869001692-3245)(A;;CC;;;S-1-5-21-3048853270-2157241324-869001692-1007)"/>
    <protectedRange sqref="Q186:Q188" name="maria_1_30" securityDescriptor="O:WDG:WDD:(A;;CC;;;S-1-5-21-3048853270-2157241324-869001692-3245)(A;;CC;;;S-1-5-21-3048853270-2157241324-869001692-1007)"/>
    <protectedRange sqref="Z187" name="maria_1_1_27" securityDescriptor="O:WDG:WDD:(A;;CC;;;S-1-5-21-3048853270-2157241324-869001692-3245)(A;;CC;;;S-1-5-21-3048853270-2157241324-869001692-1007)"/>
    <protectedRange sqref="AF189:AF196 T189:U196 W189:X196 Z189:AA196 AC189:AD196 C189:L196 N189:P196 E200 E205:E207 E211:E212 E214 E216:E220 E223 E231:E233 E239 E248:E249 E251:E254 E267:E274 E281:E282 E285:E292 E259:E265 E126 E124 E121:E122 E117 E111 E101 E95 E80:E81 E67 E36 E31 E28 E26 E15 E9 E65 E296 E276:E279 E298:E303 E114 E12:E13 AI189:AI196 AL189:XFD196 E20:E22" name="maria_36" securityDescriptor="O:WDG:WDD:(A;;CC;;;S-1-5-21-3048853270-2157241324-869001692-3245)(A;;CC;;;S-1-5-21-3048853270-2157241324-869001692-1007)"/>
    <protectedRange sqref="Q189:R196" name="maria_1_31" securityDescriptor="O:WDG:WDD:(A;;CC;;;S-1-5-21-3048853270-2157241324-869001692-3245)(A;;CC;;;S-1-5-21-3048853270-2157241324-869001692-1007)"/>
    <protectedRange sqref="AF197:AF198 T197:U198 W197:X198 Z198 AA197:AA198 C197:L198 AC197:AD198 N197:P198 AF209 T209:U209 W209:X209 AA209 C209:L209 AC209:AD209 E208 E210 N209:P210 AI210 E221 E213 AI198 AL198:XFD198 E317 AI209:XFD209 AI197:XFD197" name="maria_37" securityDescriptor="O:WDG:WDD:(A;;CC;;;S-1-5-21-3048853270-2157241324-869001692-3245)(A;;CC;;;S-1-5-21-3048853270-2157241324-869001692-1007)"/>
    <protectedRange sqref="Q197:R198 Q209:R210" name="maria_1_32" securityDescriptor="O:WDG:WDD:(A;;CC;;;S-1-5-21-3048853270-2157241324-869001692-3245)(A;;CC;;;S-1-5-21-3048853270-2157241324-869001692-1007)"/>
    <protectedRange sqref="Z197 Z209" name="maria_1_1_29" securityDescriptor="O:WDG:WDD:(A;;CC;;;S-1-5-21-3048853270-2157241324-869001692-3245)(A;;CC;;;S-1-5-21-3048853270-2157241324-869001692-1007)"/>
    <protectedRange sqref="AF199:AF200 T199:U200 W199:X200 Z200:AA200 AC199:AD200 C199:L199 N199:P200 C200:D200 F200:L200 AI199:AI200 AL199:XFD200" name="maria_38" securityDescriptor="O:WDG:WDD:(A;;CC;;;S-1-5-21-3048853270-2157241324-869001692-3245)(A;;CC;;;S-1-5-21-3048853270-2157241324-869001692-1007)"/>
    <protectedRange sqref="Q199:R199 Q200" name="maria_1_33" securityDescriptor="O:WDG:WDD:(A;;CC;;;S-1-5-21-3048853270-2157241324-869001692-3245)(A;;CC;;;S-1-5-21-3048853270-2157241324-869001692-1007)"/>
    <protectedRange sqref="H203:I203 G201:I202 AF201:AF203 C201:F203 T201:U203 W201:X203 Z201:AA203 J201:L203 AC201:AD203 N208:P208 N201:P203 AI201:AI202 AL201:XFD202 AI203:XFD203" name="maria_39" securityDescriptor="O:WDG:WDD:(A;;CC;;;S-1-5-21-3048853270-2157241324-869001692-3245)(A;;CC;;;S-1-5-21-3048853270-2157241324-869001692-1007)"/>
    <protectedRange sqref="Q201:R203 R208" name="maria_1_34" securityDescriptor="O:WDG:WDD:(A;;CC;;;S-1-5-21-3048853270-2157241324-869001692-3245)(A;;CC;;;S-1-5-21-3048853270-2157241324-869001692-1007)"/>
    <protectedRange sqref="AF204:AF205 T204:U205 W204:X205 C204:L204 AC204:AD205 Z204:AA206 AI206:AK206 N204:P207 AI211 N211:P211 C205:D205 F205:L205 F206:F207 F211:F212 F223 AI205 AL205:XFD205 AI207 AI204:XFD204" name="maria_40" securityDescriptor="O:WDG:WDD:(A;;CC;;;S-1-5-21-3048853270-2157241324-869001692-3245)(A;;CC;;;S-1-5-21-3048853270-2157241324-869001692-1007)"/>
    <protectedRange sqref="Q204:R207 Q211:R211 R212:R214" name="maria_1_35" securityDescriptor="O:WDG:WDD:(A;;CC;;;S-1-5-21-3048853270-2157241324-869001692-3245)(A;;CC;;;S-1-5-21-3048853270-2157241324-869001692-1007)"/>
    <protectedRange sqref="AF79:AF81 T79:U81 W79:X81 Z79:AA81 AC79:AD81 C79:D81 F79:N81 AI82:AI83 AI79:XFD81 M82:M84" name="maria_42" securityDescriptor="O:WDG:WDD:(A;;CC;;;S-1-5-21-3048853270-2157241324-869001692-3245)(A;;CC;;;S-1-5-21-3048853270-2157241324-869001692-1007)"/>
    <protectedRange sqref="Q79:R79 Q80:Q81" name="maria_1_37" securityDescriptor="O:WDG:WDD:(A;;CC;;;S-1-5-21-3048853270-2157241324-869001692-3245)(A;;CC;;;S-1-5-21-3048853270-2157241324-869001692-1007)"/>
    <protectedRange sqref="T283:U283 W283:X283 AF283 Z283:AA283 AC283:AD283 C283:D283 N283:P283 AH283:AI283 F283:L283 F284 F293:F295 AL283:XFD283" name="maria_7" securityDescriptor="O:WDG:WDD:(A;;CC;;;S-1-5-21-3048853270-2157241324-869001692-3245)(A;;CC;;;S-1-5-21-3048853270-2157241324-869001692-1007)"/>
    <protectedRange sqref="Q283" name="maria_1_7" securityDescriptor="O:WDG:WDD:(A;;CC;;;S-1-5-21-3048853270-2157241324-869001692-3245)(A;;CC;;;S-1-5-21-3048853270-2157241324-869001692-1007)"/>
    <protectedRange sqref="AG283" name="maria_1_1_7_1" securityDescriptor="O:WDG:WDD:(A;;CC;;;S-1-5-21-3048853270-2157241324-869001692-3245)(A;;CC;;;S-1-5-21-3048853270-2157241324-869001692-1007)"/>
    <protectedRange sqref="AE283" name="maria_17_1" securityDescriptor="O:WDG:WDD:(A;;CC;;;S-1-5-21-3048853270-2157241324-869001692-3245)(A;;CC;;;S-1-5-21-3048853270-2157241324-869001692-1007)"/>
    <protectedRange sqref="V283 Y283 AB283 B283 S283 M283" name="maria_33_1" securityDescriptor="O:WDG:WDD:(A;;CC;;;S-1-5-21-3048853270-2157241324-869001692-3245)(A;;CC;;;S-1-5-21-3048853270-2157241324-869001692-1007)"/>
    <protectedRange sqref="E283:E284 E293:E295" name="maria_36_1" securityDescriptor="O:WDG:WDD:(A;;CC;;;S-1-5-21-3048853270-2157241324-869001692-3245)(A;;CC;;;S-1-5-21-3048853270-2157241324-869001692-1007)"/>
    <protectedRange sqref="T43:U43 W43:X43 AF43 Z43:AA43 AC43:AD43 C43:D43 F43:G43 AH43:AK43" name="maria_27" securityDescriptor="O:WDG:WDD:(A;;CC;;;S-1-5-21-3048853270-2157241324-869001692-3245)(A;;CC;;;S-1-5-21-3048853270-2157241324-869001692-1007)"/>
    <protectedRange sqref="AG43" name="maria_1_1_7_2" securityDescriptor="O:WDG:WDD:(A;;CC;;;S-1-5-21-3048853270-2157241324-869001692-3245)(A;;CC;;;S-1-5-21-3048853270-2157241324-869001692-1007)"/>
    <protectedRange sqref="AE43" name="maria_17_2" securityDescriptor="O:WDG:WDD:(A;;CC;;;S-1-5-21-3048853270-2157241324-869001692-3245)(A;;CC;;;S-1-5-21-3048853270-2157241324-869001692-1007)"/>
    <protectedRange sqref="V43 Y43 AB43 B43 S43 M43" name="maria_33_2" securityDescriptor="O:WDG:WDD:(A;;CC;;;S-1-5-21-3048853270-2157241324-869001692-3245)(A;;CC;;;S-1-5-21-3048853270-2157241324-869001692-1007)"/>
    <protectedRange sqref="O43:P43" name="maria_10_1" securityDescriptor="O:WDG:WDD:(A;;CC;;;S-1-5-21-3048853270-2157241324-869001692-3245)(A;;CC;;;S-1-5-21-3048853270-2157241324-869001692-1007)"/>
    <protectedRange sqref="B86:D86 G86:H86" name="maria_41" securityDescriptor="O:WDG:WDD:(A;;CC;;;S-1-5-21-3048853270-2157241324-869001692-3245)(A;;CC;;;S-1-5-21-3048853270-2157241324-869001692-1007)"/>
    <protectedRange sqref="F86" name="maria_22_1" securityDescriptor="O:WDG:WDD:(A;;CC;;;S-1-5-21-3048853270-2157241324-869001692-3245)(A;;CC;;;S-1-5-21-3048853270-2157241324-869001692-1007)"/>
    <protectedRange sqref="J86" name="maria_43" securityDescriptor="O:WDG:WDD:(A;;CC;;;S-1-5-21-3048853270-2157241324-869001692-3245)(A;;CC;;;S-1-5-21-3048853270-2157241324-869001692-1007)"/>
    <protectedRange sqref="I86" name="maria_22_2" securityDescriptor="O:WDG:WDD:(A;;CC;;;S-1-5-21-3048853270-2157241324-869001692-3245)(A;;CC;;;S-1-5-21-3048853270-2157241324-869001692-1007)"/>
    <protectedRange sqref="K86:L86" name="maria_44" securityDescriptor="O:WDG:WDD:(A;;CC;;;S-1-5-21-3048853270-2157241324-869001692-3245)(A;;CC;;;S-1-5-21-3048853270-2157241324-869001692-1007)"/>
    <protectedRange sqref="P86 N86" name="maria_22_3" securityDescriptor="O:WDG:WDD:(A;;CC;;;S-1-5-21-3048853270-2157241324-869001692-3245)(A;;CC;;;S-1-5-21-3048853270-2157241324-869001692-1007)"/>
    <protectedRange sqref="Q86:R86" name="maria_1_20_1" securityDescriptor="O:WDG:WDD:(A;;CC;;;S-1-5-21-3048853270-2157241324-869001692-3245)(A;;CC;;;S-1-5-21-3048853270-2157241324-869001692-1007)"/>
    <protectedRange sqref="T86:U86" name="maria_45" securityDescriptor="O:WDG:WDD:(A;;CC;;;S-1-5-21-3048853270-2157241324-869001692-3245)(A;;CC;;;S-1-5-21-3048853270-2157241324-869001692-1007)"/>
    <protectedRange sqref="W86:X86" name="maria_46" securityDescriptor="O:WDG:WDD:(A;;CC;;;S-1-5-21-3048853270-2157241324-869001692-3245)(A;;CC;;;S-1-5-21-3048853270-2157241324-869001692-1007)"/>
    <protectedRange sqref="Z86:AA86" name="maria_47" securityDescriptor="O:WDG:WDD:(A;;CC;;;S-1-5-21-3048853270-2157241324-869001692-3245)(A;;CC;;;S-1-5-21-3048853270-2157241324-869001692-1007)"/>
    <protectedRange sqref="AG86" name="maria_1_1_7_3" securityDescriptor="O:WDG:WDD:(A;;CC;;;S-1-5-21-3048853270-2157241324-869001692-3245)(A;;CC;;;S-1-5-21-3048853270-2157241324-869001692-1007)"/>
    <protectedRange sqref="W304:X304 AF304 AC304:AD304 C304:D304 T304:U304 Z304:AA304 F304:L304 AH304 O308:P308 N304:P307 R304:R307 R309:R312 N309:P319" name="maria_48" securityDescriptor="O:WDG:WDD:(A;;CC;;;S-1-5-21-3048853270-2157241324-869001692-3245)(A;;CC;;;S-1-5-21-3048853270-2157241324-869001692-1007)"/>
    <protectedRange sqref="Q304:Q319" name="maria_1_36" securityDescriptor="O:WDG:WDD:(A;;CC;;;S-1-5-21-3048853270-2157241324-869001692-3245)(A;;CC;;;S-1-5-21-3048853270-2157241324-869001692-1007)"/>
    <protectedRange sqref="AG304" name="maria_1_1_7_4" securityDescriptor="O:WDG:WDD:(A;;CC;;;S-1-5-21-3048853270-2157241324-869001692-3245)(A;;CC;;;S-1-5-21-3048853270-2157241324-869001692-1007)"/>
    <protectedRange sqref="AE304" name="maria_17_3" securityDescriptor="O:WDG:WDD:(A;;CC;;;S-1-5-21-3048853270-2157241324-869001692-3245)(A;;CC;;;S-1-5-21-3048853270-2157241324-869001692-1007)"/>
    <protectedRange sqref="Y304 AB304 S304 V304 M304" name="maria_33_3" securityDescriptor="O:WDG:WDD:(A;;CC;;;S-1-5-21-3048853270-2157241324-869001692-3245)(A;;CC;;;S-1-5-21-3048853270-2157241324-869001692-1007)"/>
    <protectedRange sqref="E304" name="maria_36_2" securityDescriptor="O:WDG:WDD:(A;;CC;;;S-1-5-21-3048853270-2157241324-869001692-3245)(A;;CC;;;S-1-5-21-3048853270-2157241324-869001692-1007)"/>
    <protectedRange sqref="E280" name="maria_1_4_1" securityDescriptor="O:WDG:WDD:(A;;CC;;;S-1-5-21-3048853270-2157241324-869001692-3245)(A;;CC;;;S-1-5-21-3048853270-2157241324-869001692-1007)"/>
    <protectedRange sqref="E308" name="maria_1_1" securityDescriptor="O:WDG:WDD:(A;;CC;;;S-1-5-21-3048853270-2157241324-869001692-3245)(A;;CC;;;S-1-5-21-3048853270-2157241324-869001692-1007)"/>
    <protectedRange sqref="F308" name="maria_49" securityDescriptor="O:WDG:WDD:(A;;CC;;;S-1-5-21-3048853270-2157241324-869001692-3245)(A;;CC;;;S-1-5-21-3048853270-2157241324-869001692-1007)"/>
    <protectedRange sqref="N308" name="maria_2_1" securityDescriptor="O:WDG:WDD:(A;;CC;;;S-1-5-21-3048853270-2157241324-869001692-3245)(A;;CC;;;S-1-5-21-3048853270-2157241324-869001692-1007)"/>
    <protectedRange sqref="R308 R313:R319" name="maria_3_1" securityDescriptor="O:WDG:WDD:(A;;CC;;;S-1-5-21-3048853270-2157241324-869001692-3245)(A;;CC;;;S-1-5-21-3048853270-2157241324-869001692-1007)"/>
    <protectedRange sqref="AJ185:AK185" name="maria_34_2" securityDescriptor="O:WDG:WDD:(A;;CC;;;S-1-5-21-3048853270-2157241324-869001692-3245)(A;;CC;;;S-1-5-21-3048853270-2157241324-869001692-1007)"/>
    <protectedRange sqref="AJ189:AK189" name="maria_36_4" securityDescriptor="O:WDG:WDD:(A;;CC;;;S-1-5-21-3048853270-2157241324-869001692-3245)(A;;CC;;;S-1-5-21-3048853270-2157241324-869001692-1007)"/>
    <protectedRange sqref="AJ190:AK190" name="maria_36_6" securityDescriptor="O:WDG:WDD:(A;;CC;;;S-1-5-21-3048853270-2157241324-869001692-3245)(A;;CC;;;S-1-5-21-3048853270-2157241324-869001692-1007)"/>
    <protectedRange sqref="AJ191:AK191" name="maria_36_7" securityDescriptor="O:WDG:WDD:(A;;CC;;;S-1-5-21-3048853270-2157241324-869001692-3245)(A;;CC;;;S-1-5-21-3048853270-2157241324-869001692-1007)"/>
    <protectedRange sqref="AJ192:AK192" name="maria_36_8" securityDescriptor="O:WDG:WDD:(A;;CC;;;S-1-5-21-3048853270-2157241324-869001692-3245)(A;;CC;;;S-1-5-21-3048853270-2157241324-869001692-1007)"/>
    <protectedRange sqref="AJ193:AK193" name="maria_36_9" securityDescriptor="O:WDG:WDD:(A;;CC;;;S-1-5-21-3048853270-2157241324-869001692-3245)(A;;CC;;;S-1-5-21-3048853270-2157241324-869001692-1007)"/>
    <protectedRange sqref="AJ194:AK194" name="maria_36_10" securityDescriptor="O:WDG:WDD:(A;;CC;;;S-1-5-21-3048853270-2157241324-869001692-3245)(A;;CC;;;S-1-5-21-3048853270-2157241324-869001692-1007)"/>
    <protectedRange sqref="AJ195:AK195" name="maria_36_12" securityDescriptor="O:WDG:WDD:(A;;CC;;;S-1-5-21-3048853270-2157241324-869001692-3245)(A;;CC;;;S-1-5-21-3048853270-2157241324-869001692-1007)"/>
    <protectedRange sqref="AJ196:AK196" name="maria_36_14" securityDescriptor="O:WDG:WDD:(A;;CC;;;S-1-5-21-3048853270-2157241324-869001692-3245)(A;;CC;;;S-1-5-21-3048853270-2157241324-869001692-1007)"/>
    <protectedRange sqref="AJ198:AK198" name="maria_37_1" securityDescriptor="O:WDG:WDD:(A;;CC;;;S-1-5-21-3048853270-2157241324-869001692-3245)(A;;CC;;;S-1-5-21-3048853270-2157241324-869001692-1007)"/>
    <protectedRange sqref="AJ199:AK199" name="maria_38_1" securityDescriptor="O:WDG:WDD:(A;;CC;;;S-1-5-21-3048853270-2157241324-869001692-3245)(A;;CC;;;S-1-5-21-3048853270-2157241324-869001692-1007)"/>
    <protectedRange sqref="AJ200:AK200" name="maria_38_3" securityDescriptor="O:WDG:WDD:(A;;CC;;;S-1-5-21-3048853270-2157241324-869001692-3245)(A;;CC;;;S-1-5-21-3048853270-2157241324-869001692-1007)"/>
    <protectedRange sqref="AJ201:AK201" name="maria_39_2" securityDescriptor="O:WDG:WDD:(A;;CC;;;S-1-5-21-3048853270-2157241324-869001692-3245)(A;;CC;;;S-1-5-21-3048853270-2157241324-869001692-1007)"/>
    <protectedRange sqref="AJ202:AK202" name="maria_39_3" securityDescriptor="O:WDG:WDD:(A;;CC;;;S-1-5-21-3048853270-2157241324-869001692-3245)(A;;CC;;;S-1-5-21-3048853270-2157241324-869001692-1007)"/>
    <protectedRange sqref="AJ205:AK205" name="maria_40_1" securityDescriptor="O:WDG:WDD:(A;;CC;;;S-1-5-21-3048853270-2157241324-869001692-3245)(A;;CC;;;S-1-5-21-3048853270-2157241324-869001692-1007)"/>
    <protectedRange sqref="AJ207:AK207" name="maria_40_2" securityDescriptor="O:WDG:WDD:(A;;CC;;;S-1-5-21-3048853270-2157241324-869001692-3245)(A;;CC;;;S-1-5-21-3048853270-2157241324-869001692-1007)"/>
    <protectedRange sqref="AJ211:AK211" name="maria_40_4" securityDescriptor="O:WDG:WDD:(A;;CC;;;S-1-5-21-3048853270-2157241324-869001692-3245)(A;;CC;;;S-1-5-21-3048853270-2157241324-869001692-1007)"/>
    <protectedRange sqref="AJ212:AK212" name="maria_50" securityDescriptor="O:WDG:WDD:(A;;CC;;;S-1-5-21-3048853270-2157241324-869001692-3245)(A;;CC;;;S-1-5-21-3048853270-2157241324-869001692-1007)"/>
    <protectedRange sqref="AJ214:AK214" name="maria_51" securityDescriptor="O:WDG:WDD:(A;;CC;;;S-1-5-21-3048853270-2157241324-869001692-3245)(A;;CC;;;S-1-5-21-3048853270-2157241324-869001692-1007)"/>
    <protectedRange sqref="AJ216:AK216" name="maria_52" securityDescriptor="O:WDG:WDD:(A;;CC;;;S-1-5-21-3048853270-2157241324-869001692-3245)(A;;CC;;;S-1-5-21-3048853270-2157241324-869001692-1007)"/>
    <protectedRange sqref="AJ217:AK217" name="maria_53" securityDescriptor="O:WDG:WDD:(A;;CC;;;S-1-5-21-3048853270-2157241324-869001692-3245)(A;;CC;;;S-1-5-21-3048853270-2157241324-869001692-1007)"/>
    <protectedRange sqref="AJ218:AK218" name="maria_54" securityDescriptor="O:WDG:WDD:(A;;CC;;;S-1-5-21-3048853270-2157241324-869001692-3245)(A;;CC;;;S-1-5-21-3048853270-2157241324-869001692-1007)"/>
    <protectedRange sqref="AJ219:AK219" name="maria_55" securityDescriptor="O:WDG:WDD:(A;;CC;;;S-1-5-21-3048853270-2157241324-869001692-3245)(A;;CC;;;S-1-5-21-3048853270-2157241324-869001692-1007)"/>
    <protectedRange sqref="AJ220:AK220" name="maria_57" securityDescriptor="O:WDG:WDD:(A;;CC;;;S-1-5-21-3048853270-2157241324-869001692-3245)(A;;CC;;;S-1-5-21-3048853270-2157241324-869001692-1007)"/>
    <protectedRange sqref="AJ223:AK223" name="maria_58" securityDescriptor="O:WDG:WDD:(A;;CC;;;S-1-5-21-3048853270-2157241324-869001692-3245)(A;;CC;;;S-1-5-21-3048853270-2157241324-869001692-1007)"/>
    <protectedRange sqref="AJ224:AK224" name="maria_60" securityDescriptor="O:WDG:WDD:(A;;CC;;;S-1-5-21-3048853270-2157241324-869001692-3245)(A;;CC;;;S-1-5-21-3048853270-2157241324-869001692-1007)"/>
    <protectedRange sqref="AJ227:AK227" name="maria_62" securityDescriptor="O:WDG:WDD:(A;;CC;;;S-1-5-21-3048853270-2157241324-869001692-3245)(A;;CC;;;S-1-5-21-3048853270-2157241324-869001692-1007)"/>
    <protectedRange sqref="AJ228:AK228" name="maria_64" securityDescriptor="O:WDG:WDD:(A;;CC;;;S-1-5-21-3048853270-2157241324-869001692-3245)(A;;CC;;;S-1-5-21-3048853270-2157241324-869001692-1007)"/>
    <protectedRange sqref="AJ229:AK229" name="maria_65" securityDescriptor="O:WDG:WDD:(A;;CC;;;S-1-5-21-3048853270-2157241324-869001692-3245)(A;;CC;;;S-1-5-21-3048853270-2157241324-869001692-1007)"/>
    <protectedRange sqref="AJ231:AK231" name="maria_66" securityDescriptor="O:WDG:WDD:(A;;CC;;;S-1-5-21-3048853270-2157241324-869001692-3245)(A;;CC;;;S-1-5-21-3048853270-2157241324-869001692-1007)"/>
    <protectedRange sqref="AJ232:AK232" name="maria_68" securityDescriptor="O:WDG:WDD:(A;;CC;;;S-1-5-21-3048853270-2157241324-869001692-3245)(A;;CC;;;S-1-5-21-3048853270-2157241324-869001692-1007)"/>
    <protectedRange sqref="AJ233:AK233" name="maria_69" securityDescriptor="O:WDG:WDD:(A;;CC;;;S-1-5-21-3048853270-2157241324-869001692-3245)(A;;CC;;;S-1-5-21-3048853270-2157241324-869001692-1007)"/>
    <protectedRange sqref="AJ235:AK235" name="maria_70" securityDescriptor="O:WDG:WDD:(A;;CC;;;S-1-5-21-3048853270-2157241324-869001692-3245)(A;;CC;;;S-1-5-21-3048853270-2157241324-869001692-1007)"/>
    <protectedRange sqref="AJ236:AK236" name="maria_71" securityDescriptor="O:WDG:WDD:(A;;CC;;;S-1-5-21-3048853270-2157241324-869001692-3245)(A;;CC;;;S-1-5-21-3048853270-2157241324-869001692-1007)"/>
    <protectedRange sqref="AJ238:AK238" name="maria_72" securityDescriptor="O:WDG:WDD:(A;;CC;;;S-1-5-21-3048853270-2157241324-869001692-3245)(A;;CC;;;S-1-5-21-3048853270-2157241324-869001692-1007)"/>
    <protectedRange sqref="AJ240:AK240" name="maria_74" securityDescriptor="O:WDG:WDD:(A;;CC;;;S-1-5-21-3048853270-2157241324-869001692-3245)(A;;CC;;;S-1-5-21-3048853270-2157241324-869001692-1007)"/>
    <protectedRange sqref="AJ243:AK243" name="maria_76" securityDescriptor="O:WDG:WDD:(A;;CC;;;S-1-5-21-3048853270-2157241324-869001692-3245)(A;;CC;;;S-1-5-21-3048853270-2157241324-869001692-1007)"/>
    <protectedRange sqref="AJ244:AK244" name="maria_77" securityDescriptor="O:WDG:WDD:(A;;CC;;;S-1-5-21-3048853270-2157241324-869001692-3245)(A;;CC;;;S-1-5-21-3048853270-2157241324-869001692-1007)"/>
    <protectedRange sqref="AJ246:AK246" name="maria_78" securityDescriptor="O:WDG:WDD:(A;;CC;;;S-1-5-21-3048853270-2157241324-869001692-3245)(A;;CC;;;S-1-5-21-3048853270-2157241324-869001692-1007)"/>
    <protectedRange sqref="AJ247:AK247" name="maria_79" securityDescriptor="O:WDG:WDD:(A;;CC;;;S-1-5-21-3048853270-2157241324-869001692-3245)(A;;CC;;;S-1-5-21-3048853270-2157241324-869001692-1007)"/>
    <protectedRange sqref="AJ248:AK248" name="maria_80" securityDescriptor="O:WDG:WDD:(A;;CC;;;S-1-5-21-3048853270-2157241324-869001692-3245)(A;;CC;;;S-1-5-21-3048853270-2157241324-869001692-1007)"/>
    <protectedRange sqref="AJ249:AK249" name="maria_81" securityDescriptor="O:WDG:WDD:(A;;CC;;;S-1-5-21-3048853270-2157241324-869001692-3245)(A;;CC;;;S-1-5-21-3048853270-2157241324-869001692-1007)"/>
    <protectedRange sqref="AJ251:AK251" name="maria_82" securityDescriptor="O:WDG:WDD:(A;;CC;;;S-1-5-21-3048853270-2157241324-869001692-3245)(A;;CC;;;S-1-5-21-3048853270-2157241324-869001692-1007)"/>
    <protectedRange sqref="AJ252:AK252" name="maria_83" securityDescriptor="O:WDG:WDD:(A;;CC;;;S-1-5-21-3048853270-2157241324-869001692-3245)(A;;CC;;;S-1-5-21-3048853270-2157241324-869001692-1007)"/>
    <protectedRange sqref="AJ254:AK254" name="maria_84" securityDescriptor="O:WDG:WDD:(A;;CC;;;S-1-5-21-3048853270-2157241324-869001692-3245)(A;;CC;;;S-1-5-21-3048853270-2157241324-869001692-1007)"/>
    <protectedRange sqref="AJ255:AK255" name="maria_85" securityDescriptor="O:WDG:WDD:(A;;CC;;;S-1-5-21-3048853270-2157241324-869001692-3245)(A;;CC;;;S-1-5-21-3048853270-2157241324-869001692-1007)"/>
    <protectedRange sqref="AJ256:AK256" name="maria_87" securityDescriptor="O:WDG:WDD:(A;;CC;;;S-1-5-21-3048853270-2157241324-869001692-3245)(A;;CC;;;S-1-5-21-3048853270-2157241324-869001692-1007)"/>
    <protectedRange sqref="AJ257:AK257" name="maria_88" securityDescriptor="O:WDG:WDD:(A;;CC;;;S-1-5-21-3048853270-2157241324-869001692-3245)(A;;CC;;;S-1-5-21-3048853270-2157241324-869001692-1007)"/>
    <protectedRange sqref="AJ258:AK258" name="maria_89" securityDescriptor="O:WDG:WDD:(A;;CC;;;S-1-5-21-3048853270-2157241324-869001692-3245)(A;;CC;;;S-1-5-21-3048853270-2157241324-869001692-1007)"/>
    <protectedRange sqref="AJ260:AK260" name="maria_91" securityDescriptor="O:WDG:WDD:(A;;CC;;;S-1-5-21-3048853270-2157241324-869001692-3245)(A;;CC;;;S-1-5-21-3048853270-2157241324-869001692-1007)"/>
    <protectedRange sqref="AJ261:AK261" name="maria_92" securityDescriptor="O:WDG:WDD:(A;;CC;;;S-1-5-21-3048853270-2157241324-869001692-3245)(A;;CC;;;S-1-5-21-3048853270-2157241324-869001692-1007)"/>
    <protectedRange sqref="AJ262:AK262" name="maria_93" securityDescriptor="O:WDG:WDD:(A;;CC;;;S-1-5-21-3048853270-2157241324-869001692-3245)(A;;CC;;;S-1-5-21-3048853270-2157241324-869001692-1007)"/>
    <protectedRange sqref="AJ263:AK263" name="maria_95" securityDescriptor="O:WDG:WDD:(A;;CC;;;S-1-5-21-3048853270-2157241324-869001692-3245)(A;;CC;;;S-1-5-21-3048853270-2157241324-869001692-1007)"/>
    <protectedRange sqref="AJ264:AK264" name="maria_96" securityDescriptor="O:WDG:WDD:(A;;CC;;;S-1-5-21-3048853270-2157241324-869001692-3245)(A;;CC;;;S-1-5-21-3048853270-2157241324-869001692-1007)"/>
    <protectedRange sqref="AJ268:AK268" name="maria_98" securityDescriptor="O:WDG:WDD:(A;;CC;;;S-1-5-21-3048853270-2157241324-869001692-3245)(A;;CC;;;S-1-5-21-3048853270-2157241324-869001692-1007)"/>
    <protectedRange sqref="AJ269:AK269" name="maria_99" securityDescriptor="O:WDG:WDD:(A;;CC;;;S-1-5-21-3048853270-2157241324-869001692-3245)(A;;CC;;;S-1-5-21-3048853270-2157241324-869001692-1007)"/>
    <protectedRange sqref="AJ283:AK283" name="maria_7_1" securityDescriptor="O:WDG:WDD:(A;;CC;;;S-1-5-21-3048853270-2157241324-869001692-3245)(A;;CC;;;S-1-5-21-3048853270-2157241324-869001692-1007)"/>
    <protectedRange sqref="AJ40:AK40" name="maria_10_3" securityDescriptor="O:WDG:WDD:(A;;CC;;;S-1-5-21-3048853270-2157241324-869001692-3245)(A;;CC;;;S-1-5-21-3048853270-2157241324-869001692-1007)"/>
    <protectedRange sqref="AJ14:AK14" name="maria_4_2" securityDescriptor="O:WDG:WDD:(A;;CC;;;S-1-5-21-3048853270-2157241324-869001692-3245)(A;;CC;;;S-1-5-21-3048853270-2157241324-869001692-1007)"/>
    <protectedRange sqref="AJ18:AK18" name="maria_5_2" securityDescriptor="O:WDG:WDD:(A;;CC;;;S-1-5-21-3048853270-2157241324-869001692-3245)(A;;CC;;;S-1-5-21-3048853270-2157241324-869001692-1007)"/>
    <protectedRange sqref="AJ25:AK25" name="maria_6_1" securityDescriptor="O:WDG:WDD:(A;;CC;;;S-1-5-21-3048853270-2157241324-869001692-3245)(A;;CC;;;S-1-5-21-3048853270-2157241324-869001692-1007)"/>
    <protectedRange sqref="AJ30:AK30" name="maria_26_1" securityDescriptor="O:WDG:WDD:(A;;CC;;;S-1-5-21-3048853270-2157241324-869001692-3245)(A;;CC;;;S-1-5-21-3048853270-2157241324-869001692-1007)"/>
    <protectedRange sqref="AJ34:AK34" name="maria_8_1" securityDescriptor="O:WDG:WDD:(A;;CC;;;S-1-5-21-3048853270-2157241324-869001692-3245)(A;;CC;;;S-1-5-21-3048853270-2157241324-869001692-1007)"/>
    <protectedRange sqref="AJ35:AK35" name="maria_9_2" securityDescriptor="O:WDG:WDD:(A;;CC;;;S-1-5-21-3048853270-2157241324-869001692-3245)(A;;CC;;;S-1-5-21-3048853270-2157241324-869001692-1007)"/>
    <protectedRange sqref="AJ54:AK54" name="maria_11_1" securityDescriptor="O:WDG:WDD:(A;;CC;;;S-1-5-21-3048853270-2157241324-869001692-3245)(A;;CC;;;S-1-5-21-3048853270-2157241324-869001692-1007)"/>
    <protectedRange sqref="AJ55:AK55" name="maria_12_2" securityDescriptor="O:WDG:WDD:(A;;CC;;;S-1-5-21-3048853270-2157241324-869001692-3245)(A;;CC;;;S-1-5-21-3048853270-2157241324-869001692-1007)"/>
    <protectedRange sqref="AJ57:AK57" name="maria_14_1" securityDescriptor="O:WDG:WDD:(A;;CC;;;S-1-5-21-3048853270-2157241324-869001692-3245)(A;;CC;;;S-1-5-21-3048853270-2157241324-869001692-1007)"/>
    <protectedRange sqref="AJ59:AK59" name="maria_15_1" securityDescriptor="O:WDG:WDD:(A;;CC;;;S-1-5-21-3048853270-2157241324-869001692-3245)(A;;CC;;;S-1-5-21-3048853270-2157241324-869001692-1007)"/>
    <protectedRange sqref="AJ62:AK62" name="maria_16_2" securityDescriptor="O:WDG:WDD:(A;;CC;;;S-1-5-21-3048853270-2157241324-869001692-3245)(A;;CC;;;S-1-5-21-3048853270-2157241324-869001692-1007)"/>
    <protectedRange sqref="AJ64:AK64" name="maria_18_1" securityDescriptor="O:WDG:WDD:(A;;CC;;;S-1-5-21-3048853270-2157241324-869001692-3245)(A;;CC;;;S-1-5-21-3048853270-2157241324-869001692-1007)"/>
    <protectedRange sqref="AJ78:AK78" name="maria_19_2" securityDescriptor="O:WDG:WDD:(A;;CC;;;S-1-5-21-3048853270-2157241324-869001692-3245)(A;;CC;;;S-1-5-21-3048853270-2157241324-869001692-1007)"/>
    <protectedRange sqref="AJ87:AK87" name="maria_21_1" securityDescriptor="O:WDG:WDD:(A;;CC;;;S-1-5-21-3048853270-2157241324-869001692-3245)(A;;CC;;;S-1-5-21-3048853270-2157241324-869001692-1007)"/>
    <protectedRange sqref="AJ91:AK91" name="maria_23_1" securityDescriptor="O:WDG:WDD:(A;;CC;;;S-1-5-21-3048853270-2157241324-869001692-3245)(A;;CC;;;S-1-5-21-3048853270-2157241324-869001692-1007)"/>
    <protectedRange sqref="AJ92:AK92" name="maria_23_3" securityDescriptor="O:WDG:WDD:(A;;CC;;;S-1-5-21-3048853270-2157241324-869001692-3245)(A;;CC;;;S-1-5-21-3048853270-2157241324-869001692-1007)"/>
    <protectedRange sqref="AJ97:AK97" name="maria_24_1" securityDescriptor="O:WDG:WDD:(A;;CC;;;S-1-5-21-3048853270-2157241324-869001692-3245)(A;;CC;;;S-1-5-21-3048853270-2157241324-869001692-1007)"/>
    <protectedRange sqref="AJ100:AK100" name="maria_1_28_1" securityDescriptor="O:WDG:WDD:(A;;CC;;;S-1-5-21-3048853270-2157241324-869001692-3245)(A;;CC;;;S-1-5-21-3048853270-2157241324-869001692-1007)"/>
    <protectedRange sqref="AJ107:AK107" name="maria_25_1" securityDescriptor="O:WDG:WDD:(A;;CC;;;S-1-5-21-3048853270-2157241324-869001692-3245)(A;;CC;;;S-1-5-21-3048853270-2157241324-869001692-1007)"/>
    <protectedRange sqref="AK110" name="maria_31_2" securityDescriptor="O:WDG:WDD:(A;;CC;;;S-1-5-21-3048853270-2157241324-869001692-3245)(A;;CC;;;S-1-5-21-3048853270-2157241324-869001692-1007)"/>
    <protectedRange sqref="AJ119:AK119" name="maria_30_1" securityDescriptor="O:WDG:WDD:(A;;CC;;;S-1-5-21-3048853270-2157241324-869001692-3245)(A;;CC;;;S-1-5-21-3048853270-2157241324-869001692-1007)"/>
    <protectedRange sqref="AJ128:AK128" name="maria_28_1" securityDescriptor="O:WDG:WDD:(A;;CC;;;S-1-5-21-3048853270-2157241324-869001692-3245)(A;;CC;;;S-1-5-21-3048853270-2157241324-869001692-1007)"/>
    <protectedRange sqref="AJ129:AK129" name="maria_29_1" securityDescriptor="O:WDG:WDD:(A;;CC;;;S-1-5-21-3048853270-2157241324-869001692-3245)(A;;CC;;;S-1-5-21-3048853270-2157241324-869001692-1007)"/>
    <protectedRange sqref="AJ130:AK130" name="maria_29_2" securityDescriptor="O:WDG:WDD:(A;;CC;;;S-1-5-21-3048853270-2157241324-869001692-3245)(A;;CC;;;S-1-5-21-3048853270-2157241324-869001692-1007)"/>
    <protectedRange sqref="AJ186:AK186" name="maria_35_1" securityDescriptor="O:WDG:WDD:(A;;CC;;;S-1-5-21-3048853270-2157241324-869001692-3245)(A;;CC;;;S-1-5-21-3048853270-2157241324-869001692-1007)"/>
    <protectedRange sqref="AJ187:AK187" name="maria_35_3" securityDescriptor="O:WDG:WDD:(A;;CC;;;S-1-5-21-3048853270-2157241324-869001692-3245)(A;;CC;;;S-1-5-21-3048853270-2157241324-869001692-1007)"/>
    <protectedRange sqref="AJ188:AK188" name="maria_35_4" securityDescriptor="O:WDG:WDD:(A;;CC;;;S-1-5-21-3048853270-2157241324-869001692-3245)(A;;CC;;;S-1-5-21-3048853270-2157241324-869001692-1007)"/>
    <protectedRange sqref="AJ245:AK245" name="maria_35_5" securityDescriptor="O:WDG:WDD:(A;;CC;;;S-1-5-21-3048853270-2157241324-869001692-3245)(A;;CC;;;S-1-5-21-3048853270-2157241324-869001692-1007)"/>
    <protectedRange sqref="AJ110" name="maria_31_3" securityDescriptor="O:WDG:WDD:(A;;CC;;;S-1-5-21-3048853270-2157241324-869001692-3245)(A;;CC;;;S-1-5-21-3048853270-2157241324-869001692-1007)"/>
    <protectedRange sqref="AJ136:AK136" name="maria_33_4" securityDescriptor="O:WDG:WDD:(A;;CC;;;S-1-5-21-3048853270-2157241324-869001692-3245)(A;;CC;;;S-1-5-21-3048853270-2157241324-869001692-1007)"/>
  </protectedRanges>
  <autoFilter ref="A1:AK318" xr:uid="{9E9159A2-1636-474F-8310-82F0CB738E5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sortState ref="A6:AK73">
    <sortCondition descending="1" ref="E7:E35"/>
    <sortCondition ref="C7:C35"/>
  </sortState>
  <customSheetViews>
    <customSheetView guid="{00A99CA1-F635-44AE-9E4D-C2CEC4CEF175}" scale="70" fitToPage="1" showAutoFilter="1" topLeftCell="A492">
      <selection activeCell="H494" sqref="H494"/>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1:DG50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C1B4D6D-D666-48DD-AB17-E00791B6F0B6}" scale="70" showPageBreaks="1" fitToPage="1" printArea="1" showAutoFilter="1" topLeftCell="AI1">
      <pane ySplit="5" topLeftCell="A491" activePane="bottomLeft" state="frozen"/>
      <selection pane="bottomLeft" activeCell="AP4" sqref="AP4"/>
      <pageMargins left="0.70866141732283472" right="0.70866141732283472" top="0.74803149606299213" bottom="0.74803149606299213" header="0.31496062992125984" footer="0.31496062992125984"/>
      <pageSetup paperSize="8" scale="21" fitToHeight="0" orientation="landscape" r:id="rId2"/>
      <headerFooter>
        <oddHeader>&amp;CLISTA PROIECTELOR CONTRACTATE - PROGRAMUL OPERATIONAl CAPACITATE ADMINISTRATIVĂ</oddHeader>
        <oddFooter>Page &amp;P of &amp;N</oddFooter>
      </headerFooter>
      <autoFilter ref="A7:DG497" xr:uid="{00000000-0000-0000-0000-000000000000}"/>
    </customSheetView>
    <customSheetView guid="{FE50EAC0-52A5-4C33-B973-65E93D03D3EA}" scale="73" showPageBreaks="1" fitToPage="1" printArea="1" showAutoFilter="1" topLeftCell="D1">
      <pane ySplit="1" topLeftCell="A20" activePane="bottomLeft" state="frozen"/>
      <selection pane="bottomLeft" activeCell="AI27" sqref="AI2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49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AAA4DFE-88B1-4674-95ED-5FCD7A50BC22}" scale="70" showPageBreaks="1" fitToPage="1" printArea="1" showAutoFilter="1" topLeftCell="A496">
      <selection activeCell="H9" sqref="H9"/>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DG49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pane xSplit="6" ySplit="3" topLeftCell="AE4" activePane="bottomRight" state="frozen"/>
      <selection pane="bottomRight" activeCell="AL4" sqref="AL4"/>
      <pageMargins left="0.70866141732283472" right="0.70866141732283472" top="0.74803149606299213" bottom="0.74803149606299213" header="0.31496062992125984" footer="0.31496062992125984"/>
      <pageSetup paperSize="8" scale="14" fitToHeight="0" orientation="portrait" horizontalDpi="4294967294" verticalDpi="4294967294" r:id="rId5"/>
      <headerFooter>
        <oddHeader>&amp;CLISTA PROIECTELOR CONTRACTATE - PROGRAMUL OPERATIONAl CAPACITATE ADMINISTRATIVĂ</oddHeader>
        <oddFooter>Page &amp;P of &amp;N</oddFooter>
      </headerFooter>
      <autoFilter ref="A6:AL524" xr:uid="{00000000-0000-0000-0000-000000000000}"/>
    </customSheetView>
    <customSheetView guid="{0781B6C2-B440-4971-9809-BD16245A70FD}" scale="85" showPageBreaks="1" fitToPage="1" printArea="1" filter="1" showAutoFilter="1">
      <selection activeCell="H499" sqref="H499"/>
      <pageMargins left="0.70866141732283472" right="0.70866141732283472" top="0.74803149606299213" bottom="0.74803149606299213" header="0.31496062992125984" footer="0.31496062992125984"/>
      <pageSetup paperSize="8" scale="21" fitToHeight="0" orientation="landscape" horizontalDpi="4294967294" verticalDpi="4294967294" r:id="rId6"/>
      <headerFooter>
        <oddHeader>&amp;CLISTA PROIECTELOR CONTRACTATE - PROGRAMUL OPERATIONAl CAPACITATE ADMINISTRATIVĂ</oddHeader>
        <oddFooter>Page &amp;P of &amp;N</oddFooter>
      </headerFooter>
      <autoFilter ref="A1:AL497" xr:uid="{00000000-0000-0000-0000-000000000000}">
        <filterColumn colId="2">
          <filters>
            <filter val="252"/>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G1">
      <pane ySplit="3" topLeftCell="A260" activePane="bottomLeft"/>
      <selection pane="bottomLeft" activeCell="J261" sqref="J261"/>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1:AL49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pane xSplit="7" ySplit="4" topLeftCell="H346" activePane="bottomRight" state="frozen"/>
      <selection pane="bottomRight" activeCell="A347" sqref="A347"/>
      <pageMargins left="0.70866141732283472" right="0.70866141732283472" top="0.74803149606299213" bottom="0.74803149606299213" header="0.31496062992125984" footer="0.31496062992125984"/>
      <pageSetup paperSize="8" scale="21" fitToHeight="0" orientation="landscape" horizontalDpi="4294967294" verticalDpi="4294967294" r:id="rId8"/>
      <headerFooter>
        <oddHeader>&amp;CLISTA PROIECTELOR CONTRACTATE - PROGRAMUL OPERATIONAl CAPACITATE ADMINISTRATIVĂ</oddHeader>
        <oddFooter>Page &amp;P of &amp;N</oddFooter>
      </headerFoo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9"/>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106" showPageBreaks="1" fitToPage="1" printArea="1" showAutoFilter="1" topLeftCell="A487">
      <selection activeCell="A488" sqref="A488"/>
      <pageMargins left="0.70866141732283472" right="0.70866141732283472" top="0.74803149606299213" bottom="0.74803149606299213" header="0.31496062992125984" footer="0.31496062992125984"/>
      <pageSetup paperSize="8" scale="21" fitToHeight="0" orientation="landscape" horizontalDpi="4294967294" verticalDpi="4294967294" r:id="rId10"/>
      <headerFooter>
        <oddHeader>&amp;CLISTA PROIECTELOR CONTRACTATE - PROGRAMUL OPERATIONAl CAPACITATE ADMINISTRATIVĂ</oddHeader>
        <oddFooter>Page &amp;P of &amp;N</oddFooter>
      </headerFooter>
      <autoFilter ref="A1:AL49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filter="1" showAutoFilter="1">
      <pane xSplit="9" ySplit="359" topLeftCell="AC361" activePane="bottomRight" state="frozen"/>
      <selection pane="bottomRight" activeCell="AI378" sqref="AI378"/>
      <pageMargins left="0.70866141732283472" right="0.70866141732283472" top="0.74803149606299213" bottom="0.74803149606299213" header="0.31496062992125984" footer="0.31496062992125984"/>
      <pageSetup paperSize="8" scale="22" fitToHeight="0" orientation="landscape" horizontalDpi="4294967294" verticalDpi="4294967294" r:id="rId11"/>
      <headerFooter>
        <oddHeader>&amp;CLISTA PROIECTELOR CONTRACTATE - PROGRAMUL OPERATIONAl CAPACITATE ADMINISTRATIVĂ</oddHeader>
        <oddFooter>Page &amp;P of &amp;N</oddFooter>
      </headerFooter>
      <autoFilter ref="A1:DG438" xr:uid="{00000000-0000-0000-0000-000000000000}">
        <filterColumn colId="2">
          <filters>
            <filter val="324"/>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EA37434-2D22-478B-B49F-C3E8CD4AC2E1}" scale="60" showPageBreaks="1" fitToPage="1" printArea="1" showAutoFilter="1">
      <pane xSplit="9" ySplit="8" topLeftCell="AB186" activePane="bottomRight" state="frozen"/>
      <selection pane="bottomRight" activeCell="AI187" sqref="AI187"/>
      <pageMargins left="0.70866141732283472" right="0.70866141732283472" top="0.74803149606299213" bottom="0.74803149606299213" header="0.31496062992125984" footer="0.31496062992125984"/>
      <pageSetup paperSize="8" scale="22" fitToHeight="0" orientation="landscape" r:id="rId12"/>
      <headerFooter>
        <oddHeader>&amp;CLISTA PROIECTELOR CONTRACTATE - PROGRAMUL OPERATIONAl CAPACITATE ADMINISTRATIVĂ</oddHeader>
        <oddFooter>Page &amp;P of &amp;N</oddFooter>
      </headerFooter>
      <autoFilter ref="A6:DG427" xr:uid="{00000000-0000-0000-0000-000000000000}"/>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3"/>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5"/>
      <headerFooter>
        <oddHeader>&amp;CLISTA PROIECTELOR CONTRACTATE - PROGRAMUL OPERATIONAl CAPACITATE ADMINISTRATIVĂ</oddHeader>
        <oddFooter>Page &amp;P of &amp;N</oddFooter>
      </headerFooter>
      <autoFilter ref="A6:AL349"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6"/>
      <headerFooter>
        <oddHeader>&amp;CLISTA PROIECTELOR CONTRACTATE - PROGRAMUL OPERATIONAl CAPACITATE ADMINISTRATIVĂ</oddHeader>
        <oddFooter>Page &amp;P of &amp;N</oddFooter>
      </headerFooter>
      <autoFilter ref="A4:AH68" xr:uid="{00000000-0000-0000-0000-000000000000}"/>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7"/>
      <headerFooter>
        <oddHeader>&amp;CLISTA PROIECTELOR CONTRACTATE - PROGRAMUL OPERATIONAl CAPACITATE ADMINISTRATIVĂ</oddHeader>
        <oddFooter>Page &amp;P of &amp;N</oddFooter>
      </headerFooter>
      <autoFilter ref="A6:DF305" xr:uid="{00000000-0000-0000-0000-000000000000}"/>
    </customSheetView>
    <customSheetView guid="{EB0F2E6A-FA33-479E-9A47-8E3494FBB4DE}" scale="70" fitToPage="1" showAutoFilter="1" topLeftCell="N298">
      <selection activeCell="S316" sqref="S316"/>
      <pageMargins left="0.70866141732283472" right="0.70866141732283472" top="0.74803149606299213" bottom="0.74803149606299213" header="0.31496062992125984" footer="0.31496062992125984"/>
      <pageSetup paperSize="8" scale="21" fitToHeight="0" orientation="landscape" horizontalDpi="4294967294" verticalDpi="4294967294" r:id="rId18"/>
      <headerFooter>
        <oddHeader>&amp;CLISTA PROIECTELOR CONTRACTATE - PROGRAMUL OPERATIONAl CAPACITATE ADMINISTRATIVĂ</oddHeader>
        <oddFooter>Page &amp;P of &amp;N</oddFooter>
      </headerFooter>
      <autoFilter ref="A6:AL323" xr:uid="{00000000-0000-0000-0000-000000000000}"/>
    </customSheetView>
    <customSheetView guid="{EF10298D-3F59-43F1-9A86-8C1CCA3B5D93}" scale="112" showPageBreaks="1" fitToPage="1" printArea="1" showAutoFilter="1" topLeftCell="A4">
      <pane ySplit="3" topLeftCell="A255" activePane="bottomLeft" state="frozen"/>
      <selection pane="bottomLeft" activeCell="F255" sqref="F255"/>
      <pageMargins left="0.70866141732283472" right="0.70866141732283472" top="0.74803149606299213" bottom="0.74803149606299213" header="0.31496062992125984" footer="0.31496062992125984"/>
      <pageSetup paperSize="8" scale="22" fitToHeight="0" orientation="landscape" r:id="rId19"/>
      <headerFooter>
        <oddHeader>&amp;CLISTA PROIECTELOR CONTRACTATE - PROGRAMUL OPERATIONAl CAPACITATE ADMINISTRATIVĂ</oddHeader>
        <oddFooter>Page &amp;P of &amp;N</oddFooter>
      </headerFooter>
      <autoFilter ref="A6:AL445" xr:uid="{00000000-0000-0000-0000-000000000000}"/>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20"/>
      <headerFooter>
        <oddHeader>&amp;CLISTA PROIECTELOR CONTRACTATE - PROGRAMUL OPERATIONAl CAPACITATE ADMINISTRATIVĂ</oddHeader>
        <oddFooter>Page &amp;P of &amp;N</oddFooter>
      </headerFooter>
    </customSheetView>
    <customSheetView guid="{905D93EA-5662-45AB-8995-A9908B3E5D52}" scale="70" showPageBreaks="1" fitToPage="1" printArea="1" filter="1" showAutoFilter="1">
      <pane ySplit="1" topLeftCell="A2" activePane="bottomLeft" state="frozen"/>
      <selection pane="bottomLeft" activeCell="AJ62" sqref="AJ62"/>
      <pageMargins left="0.70866141732283472" right="0.70866141732283472" top="0.74803149606299213" bottom="0.74803149606299213" header="0.31496062992125984" footer="0.31496062992125984"/>
      <pageSetup paperSize="8" scale="22" fitToHeight="0" orientation="landscape" r:id="rId21"/>
      <headerFooter>
        <oddHeader>&amp;CLISTA PROIECTELOR CONTRACTATE - PROGRAMUL OPERATIONAl CAPACITATE ADMINISTRATIVĂ</oddHeader>
        <oddFooter>Page &amp;P of &amp;N</oddFooter>
      </headerFooter>
      <autoFilter ref="B1:B465" xr:uid="{00000000-0000-0000-0000-000000000000}">
        <filterColumn colId="0">
          <filters>
            <filter val="117665"/>
          </filters>
        </filterColumn>
      </autoFilter>
    </customSheetView>
    <customSheetView guid="{84FB199A-D56E-4FDD-AC4A-70CE86CD87BC}" scale="70" showPageBreaks="1" fitToPage="1" printArea="1" showAutoFilter="1">
      <pane xSplit="1" ySplit="7.2631578947368425" topLeftCell="A440" activePane="bottomRight"/>
      <selection pane="bottomRight" activeCell="B441" sqref="B441"/>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AL524" xr:uid="{00000000-0000-0000-0000-000000000000}"/>
    </customSheetView>
    <customSheetView guid="{901F9774-8BE7-424D-87C2-1026F3FA2E93}" scale="70" showPageBreaks="1" fitToPage="1" printArea="1" filter="1" showAutoFilter="1" topLeftCell="W1">
      <selection activeCell="AN503" sqref="AN503"/>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1:AM497" xr:uid="{00000000-0000-0000-0000-000000000000}">
        <filterColumn colId="2">
          <filters>
            <filter val="222"/>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topLeftCell="O64">
      <pane xSplit="14" topLeftCell="AG1" activePane="topRight" state="frozen"/>
      <selection pane="topRight" activeCell="AD66" sqref="AD66"/>
      <pageMargins left="0.70866141732283472" right="0.70866141732283472" top="0.74803149606299213" bottom="0.74803149606299213" header="0.31496062992125984" footer="0.31496062992125984"/>
      <pageSetup paperSize="8" scale="21" fitToHeight="0" orientation="landscape" horizontalDpi="4294967294" verticalDpi="4294967294" r:id="rId24"/>
      <headerFooter>
        <oddHeader>&amp;CLISTA PROIECTELOR CONTRACTATE - PROGRAMUL OPERATIONAl CAPACITATE ADMINISTRATIVĂ</oddHeader>
        <oddFooter>Page &amp;P of &amp;N</oddFooter>
      </headerFooter>
      <autoFilter ref="A1:AL49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H1">
      <selection activeCell="L529" sqref="L529"/>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AL524" xr:uid="{00000000-0000-0000-0000-000000000000}">
        <filterColumn colId="2">
          <filters>
            <filter val="92"/>
          </filters>
        </filterColumn>
      </autoFilter>
    </customSheetView>
    <customSheetView guid="{36624B2D-80F9-4F79-AC4A-B3547C36F23F}" scale="70" showPageBreaks="1" fitToPage="1" printArea="1" showAutoFilter="1" topLeftCell="A492">
      <selection activeCell="H494" sqref="H494"/>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DG50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CCA78F5-8D30-45DE-9D44-7E25322461D6}" scale="70" fitToPage="1" printArea="1" showAutoFilter="1">
      <selection activeCell="A7" sqref="A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K501"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s>
  <mergeCells count="55">
    <mergeCell ref="AH4:AH5"/>
    <mergeCell ref="AI4:AI5"/>
    <mergeCell ref="AJ4:AJ5"/>
    <mergeCell ref="AK4:AK5"/>
    <mergeCell ref="Q4:Q5"/>
    <mergeCell ref="R4:R5"/>
    <mergeCell ref="AE4:AE5"/>
    <mergeCell ref="AF4:AF5"/>
    <mergeCell ref="AG4:AG5"/>
    <mergeCell ref="S4:AB4"/>
    <mergeCell ref="A4:A5"/>
    <mergeCell ref="C4:C5"/>
    <mergeCell ref="D4:D5"/>
    <mergeCell ref="E4:E5"/>
    <mergeCell ref="F4:F5"/>
    <mergeCell ref="B4:B5"/>
    <mergeCell ref="G4:G5"/>
    <mergeCell ref="H4:H5"/>
    <mergeCell ref="I4:I5"/>
    <mergeCell ref="J4:J5"/>
    <mergeCell ref="L4:L5"/>
    <mergeCell ref="M4:M5"/>
    <mergeCell ref="N4:N5"/>
    <mergeCell ref="O4:O5"/>
    <mergeCell ref="P4:P5"/>
    <mergeCell ref="A1:A3"/>
    <mergeCell ref="G1:G3"/>
    <mergeCell ref="H1:H3"/>
    <mergeCell ref="N1:N3"/>
    <mergeCell ref="O1:O3"/>
    <mergeCell ref="C1:C3"/>
    <mergeCell ref="D1:D3"/>
    <mergeCell ref="F1:F3"/>
    <mergeCell ref="E1:E3"/>
    <mergeCell ref="J1:J3"/>
    <mergeCell ref="K1:K3"/>
    <mergeCell ref="L1:L3"/>
    <mergeCell ref="M1:M3"/>
    <mergeCell ref="I1:I3"/>
    <mergeCell ref="B1:B3"/>
    <mergeCell ref="Y2:Y3"/>
    <mergeCell ref="P1:P3"/>
    <mergeCell ref="Q1:Q3"/>
    <mergeCell ref="R1:R3"/>
    <mergeCell ref="S1:AB1"/>
    <mergeCell ref="S2:X2"/>
    <mergeCell ref="AJ1:AK1"/>
    <mergeCell ref="AJ2:AJ3"/>
    <mergeCell ref="AK2:AK3"/>
    <mergeCell ref="AB2:AB3"/>
    <mergeCell ref="AG1:AG3"/>
    <mergeCell ref="AH1:AH3"/>
    <mergeCell ref="AI1:AI3"/>
    <mergeCell ref="AF2:AF3"/>
    <mergeCell ref="AE1:AE3"/>
  </mergeCells>
  <pageMargins left="0.70866141732283472" right="0.70866141732283472" top="0.74803149606299213" bottom="0.74803149606299213" header="0.31496062992125984" footer="0.31496062992125984"/>
  <pageSetup paperSize="8" scale="21" fitToHeight="0" orientation="landscape" horizontalDpi="4294967294" verticalDpi="4294967294" r:id="rId28"/>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Sheet1!_Hlk516490095</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mircea.pavel</cp:lastModifiedBy>
  <cp:lastPrinted>2019-01-03T12:15:48Z</cp:lastPrinted>
  <dcterms:created xsi:type="dcterms:W3CDTF">2016-07-18T10:59:34Z</dcterms:created>
  <dcterms:modified xsi:type="dcterms:W3CDTF">2019-01-31T09:53:12Z</dcterms:modified>
</cp:coreProperties>
</file>