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23,04,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UdristeoiuA</author>
  </authors>
  <commentList>
    <comment ref="H55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30000
</t>
        </r>
      </text>
    </comment>
    <comment ref="H57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1,260,000</t>
        </r>
      </text>
    </comment>
    <comment ref="H61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104,000
</t>
        </r>
      </text>
    </comment>
    <comment ref="H64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900,000</t>
        </r>
      </text>
    </comment>
    <comment ref="H67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74,000
</t>
        </r>
      </text>
    </comment>
    <comment ref="H204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58,000</t>
        </r>
      </text>
    </comment>
    <comment ref="H208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49,000</t>
        </r>
      </text>
    </comment>
    <comment ref="H211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157,000</t>
        </r>
      </text>
    </comment>
    <comment ref="H252" authorId="0">
      <text>
        <r>
          <rPr>
            <b/>
            <sz val="8"/>
            <rFont val="Tahoma"/>
            <family val="0"/>
          </rPr>
          <t>UdristeoiuA:</t>
        </r>
        <r>
          <rPr>
            <sz val="8"/>
            <rFont val="Tahoma"/>
            <family val="0"/>
          </rPr>
          <t xml:space="preserve">
1,811,000
</t>
        </r>
      </text>
    </comment>
  </commentList>
</comments>
</file>

<file path=xl/sharedStrings.xml><?xml version="1.0" encoding="utf-8"?>
<sst xmlns="http://schemas.openxmlformats.org/spreadsheetml/2006/main" count="766" uniqueCount="495">
  <si>
    <t>Ministerul Dezvoltării Regionale şi Administratiei Publice</t>
  </si>
  <si>
    <t>Aprob</t>
  </si>
  <si>
    <t>Viceprim-Ministru</t>
  </si>
  <si>
    <t>Ministrul Dezvoltarii Regionale si Administratiei Publice</t>
  </si>
  <si>
    <t>Liviu Nicolae DRAGNEA</t>
  </si>
  <si>
    <t xml:space="preserve">            Programul Anual al Achiziţiilor Publice pentru anul bugetar 2013 (buget de stat)-Sectiunea I</t>
  </si>
  <si>
    <t>Nr. Crt.</t>
  </si>
  <si>
    <t>Denumire</t>
  </si>
  <si>
    <t>Cod CPV</t>
  </si>
  <si>
    <t>Valoare estimată fără TVA Euro</t>
  </si>
  <si>
    <t>Valoare estimată fără TVA                              -Lei</t>
  </si>
  <si>
    <t xml:space="preserve">Val.totală 
estimată pentru a fi  contractata în 2013 lei cu TVA </t>
  </si>
  <si>
    <t xml:space="preserve">Valoarea care 
se plateste in anul 2013 lei cu TVA </t>
  </si>
  <si>
    <t>Procedura de atribuire a contractului</t>
  </si>
  <si>
    <t>Data estimată pt. începerea procedurii</t>
  </si>
  <si>
    <t>Data estimată pt. finalizarea procedurii</t>
  </si>
  <si>
    <t>Persoana responsabilă</t>
  </si>
  <si>
    <t>20.01 BUNURI ŞI SERVICII</t>
  </si>
  <si>
    <t>20.01.01 FURNITURI DE BIROU</t>
  </si>
  <si>
    <t>personal AP</t>
  </si>
  <si>
    <t>Lipici lichid</t>
  </si>
  <si>
    <t xml:space="preserve"> 24911200-5 Adezivi</t>
  </si>
  <si>
    <t>Sfoara bumbac</t>
  </si>
  <si>
    <t>19433000-0 Fire de bumbac</t>
  </si>
  <si>
    <t>Copertă plastic</t>
  </si>
  <si>
    <t>19520000-7 Produse din plastic</t>
  </si>
  <si>
    <t>File protecţie documente cu perforaţii pentru îndosariere, format A4, portret, deschidere sus, set de 100 buc.</t>
  </si>
  <si>
    <t>Diverse articole din plastic</t>
  </si>
  <si>
    <t>22800000-8 Registre, registre contabile, clasoare, formulare şi alte articole imprimate de papetărie din hârtie sau din carton</t>
  </si>
  <si>
    <t>22816100-4 Blocnotesuri</t>
  </si>
  <si>
    <t>Indicatoare pagina auto-adezive</t>
  </si>
  <si>
    <t>22816300-6 Post-it</t>
  </si>
  <si>
    <t>Certificate de securitate acces la inf. clasific</t>
  </si>
  <si>
    <t>22820000-4 Formulare</t>
  </si>
  <si>
    <t>Dosare plastic cu şină si perforatii</t>
  </si>
  <si>
    <t>22852000-7 Dosare</t>
  </si>
  <si>
    <t>Copertă plastifiată</t>
  </si>
  <si>
    <t>22852100-8 Coperţi de dosar</t>
  </si>
  <si>
    <t>Carton texturat</t>
  </si>
  <si>
    <t>22993000-7 Hârtie şi carton fotosensibile, termosensibile sau termografice</t>
  </si>
  <si>
    <t>30125110-5 Toner pentru imprimantele laser/faxuri</t>
  </si>
  <si>
    <t>Toner pentru fotocopiatoare</t>
  </si>
  <si>
    <t>30125120-8 Toner pentru fotocopiatoare</t>
  </si>
  <si>
    <t>Calculator electronic</t>
  </si>
  <si>
    <t>30141200-1 Calculatoare de birou</t>
  </si>
  <si>
    <t>Cerneală  pentru imprimante</t>
  </si>
  <si>
    <t>30192113-6 Cartuşe de cerneală</t>
  </si>
  <si>
    <t>Pixuri</t>
  </si>
  <si>
    <t>30192121-5 Pixuri</t>
  </si>
  <si>
    <t>30192125-3 Carioca permanente</t>
  </si>
  <si>
    <t>Creion mecanic , 0.7 mm negru</t>
  </si>
  <si>
    <t>30192126-0 Creioane mecanice</t>
  </si>
  <si>
    <t>Mine creion mecanic 0.7 mm</t>
  </si>
  <si>
    <t>30192132-5 Mine de rezervă pentru creioane</t>
  </si>
  <si>
    <t>Fluid corector</t>
  </si>
  <si>
    <t>30192920-6 Lichid corector</t>
  </si>
  <si>
    <t>Capse ( 23/10 24/6)</t>
  </si>
  <si>
    <t>30197110-0 Capse</t>
  </si>
  <si>
    <t>Agrafe birou</t>
  </si>
  <si>
    <t>30197220-4 Agrafe de birou</t>
  </si>
  <si>
    <t xml:space="preserve">Capsator </t>
  </si>
  <si>
    <t>30197320-5 Capsatoare</t>
  </si>
  <si>
    <t>30197621-5 Bloc de hârtie pentru flipchart</t>
  </si>
  <si>
    <t>Hârtie A3 pentru copiator si imprimanta laser sau inkjet, Hartie A4, 420x297 mm, gramaj 80g/mp</t>
  </si>
  <si>
    <t>30197642-8 Hârtie pentru fotocopiatoare şi xerografică</t>
  </si>
  <si>
    <t>Bibliorafturi, mape de corespondenţă, clasoare şi articole similare</t>
  </si>
  <si>
    <t>30199500-5 Bibliorafturi, mape de corespondenţă, clasoare şi articole similare</t>
  </si>
  <si>
    <t>Mapa pentru sortare cu 7 si 12 separatoare, mape pentru semnaturi</t>
  </si>
  <si>
    <t xml:space="preserve">Separatoare </t>
  </si>
  <si>
    <t>30199600-6 Separatoare pentru papetarie</t>
  </si>
  <si>
    <t>30199230-1 Plicuri</t>
  </si>
  <si>
    <t xml:space="preserve">CD inscriptibil </t>
  </si>
  <si>
    <t>30234300-1 Compact-discuri (CD-uri)</t>
  </si>
  <si>
    <t>DVD -R, 16X4.7 carcasa slim Imation</t>
  </si>
  <si>
    <t>30234400-2 Discuri digitale polivalente (DVD-uri)</t>
  </si>
  <si>
    <t>Dischete, 10 buc/cutie</t>
  </si>
  <si>
    <t>30237320-8 Dischete</t>
  </si>
  <si>
    <t>Cutter si foarfece</t>
  </si>
  <si>
    <t>39241000-3 Cuţite şi foarfece</t>
  </si>
  <si>
    <t>Articole de birou (suport pentru carti de vizita, calendare birou, agenda-planner, agende telefonice, ceas birou, etc)</t>
  </si>
  <si>
    <t>39263000-3 Articole de birou</t>
  </si>
  <si>
    <t>Inele plastic A4 pentru îndosariere 10/12/14/16/18/22/25</t>
  </si>
  <si>
    <t>39264000-0 3 Accesorii pentru clasoare sau pentru dosare</t>
  </si>
  <si>
    <t>Bandă adezivă</t>
  </si>
  <si>
    <t>44424200-0 Banda adeziva</t>
  </si>
  <si>
    <t>Suport pentru instrumente de scris</t>
  </si>
  <si>
    <t>30192134-9 Suporturi de creioane</t>
  </si>
  <si>
    <t>Notes autoadeziv Post-it 38x51, 75X75, 100x75 mm</t>
  </si>
  <si>
    <t xml:space="preserve">20.01.02 Materiale pentru curăţenie </t>
  </si>
  <si>
    <t xml:space="preserve"> Produse de curatenie</t>
  </si>
  <si>
    <t>39831240-0 Produse de curatenie</t>
  </si>
  <si>
    <t>20.01.03 ÎNCĂLZIT, ILUMINAT ŞI FORŢĂ MOTRICĂ</t>
  </si>
  <si>
    <t xml:space="preserve"> Distribuţie de energie electrică</t>
  </si>
  <si>
    <t>09310000-5 Electricitate</t>
  </si>
  <si>
    <t>Protocol între instituţii</t>
  </si>
  <si>
    <t xml:space="preserve"> Aburi, apa caldă şi produse conexe</t>
  </si>
  <si>
    <t>09320000-8 Aburi, apă caldă şi produse conexe</t>
  </si>
  <si>
    <t xml:space="preserve"> Distribuţie de gaz şi servicii conexe</t>
  </si>
  <si>
    <t>09123000-7 Gaze naturale</t>
  </si>
  <si>
    <t>20.01.04 APĂ, CANAL ŞI SALUBRITATE</t>
  </si>
  <si>
    <t xml:space="preserve"> Distributie de apa si servicii conexe</t>
  </si>
  <si>
    <t>41110000-3-Apa potabila</t>
  </si>
  <si>
    <t>Protocol intre institutii</t>
  </si>
  <si>
    <t xml:space="preserve"> Servicii de colectare a deseurilor</t>
  </si>
  <si>
    <t>90511000-2 Servicii de colectare a deşeurilor menajere</t>
  </si>
  <si>
    <t>20.01.05 CARBURANŢI ŞI LUBRIFIANTI</t>
  </si>
  <si>
    <t>Benzină fără plumb</t>
  </si>
  <si>
    <t>09132100-4 Benzină fără plumb</t>
  </si>
  <si>
    <t>Motorină</t>
  </si>
  <si>
    <t>09134200-9 Motorină</t>
  </si>
  <si>
    <t>20.01.06 PIESE DE SCHIMB</t>
  </si>
  <si>
    <t>20.01.06.01 PIESE DE SCHIMB PENTRU ECHIPAMENTE (CALCULATOARE, FAXURI,COPIATOARE, ETC)</t>
  </si>
  <si>
    <t>Piese şi accesorii pentru maşini de birou (drum kit)</t>
  </si>
  <si>
    <t>30124000-4 Piese şi accesorii pentru maşini de birou</t>
  </si>
  <si>
    <t>Piese şi accesorii pentru fotocopiatoare</t>
  </si>
  <si>
    <t>30125000-1 Piese şi accesorii pentru fotocopiatoare</t>
  </si>
  <si>
    <t>Unităţi de hard disk</t>
  </si>
  <si>
    <t>30233132-5 Unităţi de hard disk</t>
  </si>
  <si>
    <t>Surse de alimentare electrică continuă</t>
  </si>
  <si>
    <t>31154000-0 Surse de alimentare electrică continuă</t>
  </si>
  <si>
    <t>30237000-9 Piese şi accesorii pt computere</t>
  </si>
  <si>
    <t>20.01.06.02 PIESE DE SCHIMB, ANVELOPE ŞI DIVERSE MATERIALE NECESARE ÎNTREŢINERII PARCULUI AUTO</t>
  </si>
  <si>
    <t xml:space="preserve"> Parfumuri şi deodorizante de interior</t>
  </si>
  <si>
    <t>39811000-0 Parfumuri şi deodorizante de interior</t>
  </si>
  <si>
    <t>Pneuri pentru autoturisme</t>
  </si>
  <si>
    <t>34351100-3  Pneuri pentru autoturisme</t>
  </si>
  <si>
    <t>39831000-6 Preparate de spălare</t>
  </si>
  <si>
    <t>Soluţie dezgheţare parbriz</t>
  </si>
  <si>
    <t>24315000-5 Diverse produse chimice anorganice</t>
  </si>
  <si>
    <t>Soluţie dezgheţare broască uşă</t>
  </si>
  <si>
    <t>Soluţie spălare parbriz</t>
  </si>
  <si>
    <t>20.01.08  POŞTĂ, TELECOMUNICAŢII, RADIO, TV, INTERNET</t>
  </si>
  <si>
    <t>Servicii poştale</t>
  </si>
  <si>
    <t>64110000-0 Servicii poştale</t>
  </si>
  <si>
    <t>Servicii de curierat</t>
  </si>
  <si>
    <t>64120000-3 Servicii de curierat</t>
  </si>
  <si>
    <t>Servicii de telefonie publică</t>
  </si>
  <si>
    <t>64211000-8 Servicii de telefonie publică</t>
  </si>
  <si>
    <t>Acord cadru-Contract subsecvent</t>
  </si>
  <si>
    <t>Servicii de telefonie mobilă</t>
  </si>
  <si>
    <t>64212000-5 Servicii de telefonie mobilă</t>
  </si>
  <si>
    <t>Servicii de internet</t>
  </si>
  <si>
    <t>72400000-4 Servicii de internet</t>
  </si>
  <si>
    <t>Servicii de radio şi televiziune prin cablu</t>
  </si>
  <si>
    <t>92200000-3 Servicii de radio şi de televiziune</t>
  </si>
  <si>
    <t>20.01.09  MATERIALE ŞI PRESTĂRI SERVICII CU CARACTER FUNCŢIONAL</t>
  </si>
  <si>
    <t>20.01.09.02 INTERPRETARI</t>
  </si>
  <si>
    <t>Servicii de traducere</t>
  </si>
  <si>
    <t>79530000-8 Servicii de traducere</t>
  </si>
  <si>
    <t>Servicii de interpretariat</t>
  </si>
  <si>
    <t>79540000-1 Servicii de interpretariat</t>
  </si>
  <si>
    <t>20.01.09.03 PRODUSE TIPĂRITE</t>
  </si>
  <si>
    <t>Servicii de realizare de materiale tipărite</t>
  </si>
  <si>
    <t>79800000-2 Servicii tipografice şi servicii conexe</t>
  </si>
  <si>
    <t>Domeniu internet</t>
  </si>
  <si>
    <t>72417000-9 Nume domenii de internet</t>
  </si>
  <si>
    <t>Servicii de tiparire materiale</t>
  </si>
  <si>
    <t>79823000-9 Servicii de tiparire si de livrare</t>
  </si>
  <si>
    <t>20.01.09.04 SERVICII DE INFORMAŢII MASS MEDIA</t>
  </si>
  <si>
    <t>Servicii de informare electronică (abonament electronic Monitorul Oficial)</t>
  </si>
  <si>
    <t>64216200-5 Servicii de informare electronică</t>
  </si>
  <si>
    <t>92400000-5 Servicii de agenţii de presă</t>
  </si>
  <si>
    <t>Procedură proprie exceptată O.U.G. 34/2006 (Norme Interne)</t>
  </si>
  <si>
    <t>Abonare la flux de stiri</t>
  </si>
  <si>
    <t>Pachet complet presă scrisă zilnic</t>
  </si>
  <si>
    <t>22200000-2 Ziare, reviste specializate, periodice şi reviste</t>
  </si>
  <si>
    <t>20.01.09.06 ALTE MATERIALE ŞI PRESTĂRI SERVICII CU CARACTER FUNCŢIONAL</t>
  </si>
  <si>
    <t xml:space="preserve"> Servicii de curăţare a birourilor</t>
  </si>
  <si>
    <t>90910000-9 Servicii de curăţenie</t>
  </si>
  <si>
    <t>Servicii de dezinsecţie şi dezinfecţie</t>
  </si>
  <si>
    <t>90921000-9 Servicii de dezinfectie si de dezinsectie</t>
  </si>
  <si>
    <t>Servicii de întreţinere şi reparare computere personale</t>
  </si>
  <si>
    <t>50322000-8 Servicii de întreţinere a computerelor personale</t>
  </si>
  <si>
    <t>Diverse piese de schimb</t>
  </si>
  <si>
    <t>34913000-0 Diverse piese de schimb</t>
  </si>
  <si>
    <t>Paşapoarte</t>
  </si>
  <si>
    <t>22451000-6 Paşapoarte</t>
  </si>
  <si>
    <t>20.01.30 ALTE BUNURI ŞI SERVICII PENTRU ÎNTREŢINERE ŞI FUNCŢIONARE</t>
  </si>
  <si>
    <t xml:space="preserve">20.01.30.01 ALTE SERVICII </t>
  </si>
  <si>
    <t>Servicii furnizare informaţii legislative</t>
  </si>
  <si>
    <t>72319000-4 Servicii de furnizare de date</t>
  </si>
  <si>
    <t>Servicii de medicina muncii</t>
  </si>
  <si>
    <t>85147000-1 Servicii de medicina muncii</t>
  </si>
  <si>
    <t>PSI  si protectia muncii</t>
  </si>
  <si>
    <t>71317000-3 Servicii de consultanta în protectia contra riscurilor si în controlul riscurilor</t>
  </si>
  <si>
    <t>Servicii pentru organizare evenimente</t>
  </si>
  <si>
    <t>79952000-2 Servicii pentru evenimente</t>
  </si>
  <si>
    <t>Servicii de întreţinere şi reparare a reţelei telefonice</t>
  </si>
  <si>
    <t>50334110-9 Servicii de întreţinere a reţelei telefonice</t>
  </si>
  <si>
    <t>Servicii de reparare şi de intretinere a automobilelor</t>
  </si>
  <si>
    <t>50112000-3 Servicii de reparare şi întreţinere a automobilelor</t>
  </si>
  <si>
    <t>Servicii de spălare a automobilelor şi servicii similare</t>
  </si>
  <si>
    <t>50112300-6 Servicii de spălare a automobilelor şi servicii similare</t>
  </si>
  <si>
    <t>Servicii de mentenanţă program informatic de contabilitate</t>
  </si>
  <si>
    <t>72261000-2 Servicii de asistenţă pentru software</t>
  </si>
  <si>
    <t>Servicii de reparare şi întreţinere a copiatoarelor şi imprimantelor</t>
  </si>
  <si>
    <t>50323000-5 Servicii de reparare şi de întreţinere a perifericelor informatice</t>
  </si>
  <si>
    <t>Servicii de întreţinere preventivă aer condiţionat</t>
  </si>
  <si>
    <t>50730000-1  Servicii de reparare şi de întreţinere a grupurilor de refrigerare</t>
  </si>
  <si>
    <t>Servicii de întreţinere a ascensoarelor</t>
  </si>
  <si>
    <t>50750000-7 Servicii de întreţinere a ascensoarelor</t>
  </si>
  <si>
    <t>Diverse servicii de întretinere şi reparaţii</t>
  </si>
  <si>
    <t>50800000-3 Diverse servicii de întretinere si de reparare</t>
  </si>
  <si>
    <t>Servicii întretinere masina de francat</t>
  </si>
  <si>
    <t xml:space="preserve">Servicii de taxare </t>
  </si>
  <si>
    <t>79941000-2 Servicii de taxare</t>
  </si>
  <si>
    <t>Servicii taxă de autostradă</t>
  </si>
  <si>
    <t>63712210-8 Servicii de taxă de autostradă</t>
  </si>
  <si>
    <t xml:space="preserve"> Servicii de asigurare a autovehiculelor</t>
  </si>
  <si>
    <t>66514110-0 Servicii de asigurare a autovehiculelor</t>
  </si>
  <si>
    <t>Servicii de răspundere civilă auto</t>
  </si>
  <si>
    <t>66516100-1  Servicii de asigurare de răspundere civilă auto</t>
  </si>
  <si>
    <t>Sisteme de alarmă de incendii</t>
  </si>
  <si>
    <t>31625200-5 Sisteme de alarmă de incendiu</t>
  </si>
  <si>
    <t>Servicii de gestionare spaţiu Dinicu Golescu</t>
  </si>
  <si>
    <t>79993000-1 Servicii de gestionare imobile</t>
  </si>
  <si>
    <t>Servicii de supraveghere şi verificare instalaţii ISCIR</t>
  </si>
  <si>
    <t>71632000-7 Servicii de testare tehnica</t>
  </si>
  <si>
    <t xml:space="preserve"> Servicii de gestionare de imobile şi instalatii</t>
  </si>
  <si>
    <t>98341130-5 Servicii de administrare de imobile</t>
  </si>
  <si>
    <t>Servicii instalare de echipamente de control</t>
  </si>
  <si>
    <t>50922000-4 Servicii instalare de echipamente de control</t>
  </si>
  <si>
    <t>Verificare/ umplere stingatoare</t>
  </si>
  <si>
    <t>24951230-6 Incarcatura pentru extinctoare de incendii</t>
  </si>
  <si>
    <t>Servicii de închiriere de vehicule de transport mărfuri cu şofer</t>
  </si>
  <si>
    <t>60180000-3 Închiriere de vehicule de transport mărfuri cu şofer</t>
  </si>
  <si>
    <t xml:space="preserve"> Servicii de arhivare</t>
  </si>
  <si>
    <t>79995100-6 Servicii de arhivare</t>
  </si>
  <si>
    <t>contract subsecvent</t>
  </si>
  <si>
    <t>39294100-0 Produse informative si de promovare</t>
  </si>
  <si>
    <t>Servicii de paza mijloace fixe (terenuri si cladiri)</t>
  </si>
  <si>
    <t>79713000-5 Servicii de pază</t>
  </si>
  <si>
    <t>Cărţi de vizită</t>
  </si>
  <si>
    <t>30199730-6 Cărţi de vizită</t>
  </si>
  <si>
    <t>20.01.30.02 ALTE BUNURI</t>
  </si>
  <si>
    <t>Mouse</t>
  </si>
  <si>
    <t>30237410-6 Mouse pentru computer</t>
  </si>
  <si>
    <t>Startere</t>
  </si>
  <si>
    <t>31532500-9 Startere pentru lampi</t>
  </si>
  <si>
    <t>Neoane</t>
  </si>
  <si>
    <t>31519200-9 Lampi cu neon</t>
  </si>
  <si>
    <t>Broaşte, chei şi balamale</t>
  </si>
  <si>
    <t>44520000-1 Broaşte, chei şi balamale</t>
  </si>
  <si>
    <t>Spirale</t>
  </si>
  <si>
    <t>44512900-1 Vârfuri de burghiu, vârfuri de şurubelniţă şi alte accesorii</t>
  </si>
  <si>
    <t>Prize</t>
  </si>
  <si>
    <t>31712118-0 Prize sau suporturi pentru circuite integrate</t>
  </si>
  <si>
    <t>Articole din sticlă</t>
  </si>
  <si>
    <t>39299000-4 Articole din sticlă</t>
  </si>
  <si>
    <t>Plante</t>
  </si>
  <si>
    <t>03451000-6 Plante</t>
  </si>
  <si>
    <t xml:space="preserve">Tăvi </t>
  </si>
  <si>
    <t>39221160-6 Tăvi</t>
  </si>
  <si>
    <t>Căni</t>
  </si>
  <si>
    <t>39221121-1 Căni</t>
  </si>
  <si>
    <t>Dezodorizante</t>
  </si>
  <si>
    <t>42924790-3 Aparate de dezodorizare</t>
  </si>
  <si>
    <t>Becuri</t>
  </si>
  <si>
    <t>31531000-7 Becuri</t>
  </si>
  <si>
    <t>Echipament racordare</t>
  </si>
  <si>
    <t>43611700-6 Echipament racordare</t>
  </si>
  <si>
    <t>Cuie</t>
  </si>
  <si>
    <t>44192200-4 Cuie</t>
  </si>
  <si>
    <t>Coliere</t>
  </si>
  <si>
    <t>44163210-5 Coliere de strapungere ţevi</t>
  </si>
  <si>
    <t>Scaune capace vase cuve rezervoare pt WC</t>
  </si>
  <si>
    <t>44411700-1 Scaune capace vase cuve rezervoare pt WC</t>
  </si>
  <si>
    <t>Masticuri, fibre, chituri şi diluanţi</t>
  </si>
  <si>
    <t>44830000-7Masticuri, fibre, chituri şi diluanţi</t>
  </si>
  <si>
    <t>Placa gravata de exterior</t>
  </si>
  <si>
    <t>19521200-6 Plăci din polistiren</t>
  </si>
  <si>
    <t>Prelungitoare 10m</t>
  </si>
  <si>
    <t>31224810-3 Cabluri prelungitoare</t>
  </si>
  <si>
    <t>Aparate de radiotelecomandă</t>
  </si>
  <si>
    <t>38821000-6 Aparate de radiotelecomandă</t>
  </si>
  <si>
    <t>Fise şi prize</t>
  </si>
  <si>
    <t>31224100-3 Fişe şi prize</t>
  </si>
  <si>
    <t>Cablu de conectare</t>
  </si>
  <si>
    <t>31224400-6 Cabluri de conectare</t>
  </si>
  <si>
    <t>Cablu USB</t>
  </si>
  <si>
    <t>44320000-9 Cabluri şi produse conexe</t>
  </si>
  <si>
    <t>Baterii 1.5 V AAA</t>
  </si>
  <si>
    <t>31440000-2 Baterii</t>
  </si>
  <si>
    <t>Baterii 1.5 V AA</t>
  </si>
  <si>
    <t>Oglinzi</t>
  </si>
  <si>
    <t>38622000-1 Oglinzi</t>
  </si>
  <si>
    <t>Robineţi, vane şi dispozitive similare</t>
  </si>
  <si>
    <t>42130000-9 Robineţi, vane şi dispozitive similare</t>
  </si>
  <si>
    <t>Aricole pentru baie sau bucătărie</t>
  </si>
  <si>
    <t>44410000-7 Articole pentru baie si bucatarie</t>
  </si>
  <si>
    <t>Şilduri uşi</t>
  </si>
  <si>
    <t>44500000-5 Scule, lacate, chei, balamale, dispozitive de fixare, lanturi si resorturi</t>
  </si>
  <si>
    <t>Cartele de acces</t>
  </si>
  <si>
    <t>22457000-8 Cartele de acces</t>
  </si>
  <si>
    <t>Acumulatori</t>
  </si>
  <si>
    <t>31434000-7 Acumulatori cu litiu</t>
  </si>
  <si>
    <t>20.02 REPARAŢII CURENTE</t>
  </si>
  <si>
    <t xml:space="preserve"> Lucrări de reparaţii generale şi de renovare</t>
  </si>
  <si>
    <t>45453000-7 Lucrări de reparaţii generale şi de renovare</t>
  </si>
  <si>
    <t>20.05 BUNURI DE NATURA OBIECTELOR DE INVENTAR</t>
  </si>
  <si>
    <t>20.05.30 ALTE OBIECTE DE INVENTAR</t>
  </si>
  <si>
    <t>20.05.30.02 ALTE OBIECTE DE INVENTAR DE MICĂ VALOARE SAU SCURTĂ DURATĂ ŞI ECHIPAMENT</t>
  </si>
  <si>
    <t>Piese şi accesorii pt. computere</t>
  </si>
  <si>
    <t>Ştampile</t>
  </si>
  <si>
    <t>30192153-8 Ştampile cu text</t>
  </si>
  <si>
    <t>Tocător documente</t>
  </si>
  <si>
    <t>30191400-8 Dispozitiv de distrugere a documentelor</t>
  </si>
  <si>
    <t>20.06 DEPLASĂRI, DETAŞĂRI, TRANSFERĂRI</t>
  </si>
  <si>
    <t>20.06.01 DEPLASĂRI INTERNE, DETAŞĂRI, TRANSFERĂRI</t>
  </si>
  <si>
    <t>20.06.01.01 DEPLASĂRI INTERNE, DETAŞĂRI, TRANSFERĂRI, CAZARE</t>
  </si>
  <si>
    <t>Servicii de cazare</t>
  </si>
  <si>
    <t>55110000-4 Servicii de cazare la hotel</t>
  </si>
  <si>
    <t>Excepţie de la prevederile O.UG. 34/2006</t>
  </si>
  <si>
    <t>20.06.01.02 DEPLASĂRI  INTERNE, DETAŞĂRI, TRANSFERĂRI, TRANSPORT</t>
  </si>
  <si>
    <t>Servicii de transport feroviar public</t>
  </si>
  <si>
    <t>60210000-3 Servicii de transport feroviar public</t>
  </si>
  <si>
    <t>Excepţie de la prevederile O.U.G. 34/2006</t>
  </si>
  <si>
    <t>Servicii de transport aerian pe bază de grafic</t>
  </si>
  <si>
    <t>60410000- 5 Servicii de transport aerian pe bază de grafic</t>
  </si>
  <si>
    <t>20.06.02 DEPLASĂRI ÎN STRĂINĂTATE</t>
  </si>
  <si>
    <t>20.06.02.01 DEPLASĂRI ÎN STRĂINĂTATE, CAZARE</t>
  </si>
  <si>
    <t>20.06.02.02 DEPLASĂRI ÎN STRĂINĂTATE, TRANSPORT</t>
  </si>
  <si>
    <t>60410000- 5 Servicii de transport aerian pe baza de grafic</t>
  </si>
  <si>
    <t>20.06.02.03 DEPLASĂRI ÎN STRĂINĂTATE, ALTE CHELTUIELI</t>
  </si>
  <si>
    <t>Alte servicii</t>
  </si>
  <si>
    <t>98390000-3  Alte servicii</t>
  </si>
  <si>
    <t>Servicii de asigurare de sănătate</t>
  </si>
  <si>
    <t>66331200-1 Servicii de asigurare de sănătate</t>
  </si>
  <si>
    <t>20.06.02.04 DEPLASĂRI ÎN STRĂINĂTATE, Comisioane şi speze bancare</t>
  </si>
  <si>
    <t>comisioane şi speze bancare</t>
  </si>
  <si>
    <t>66110000-4 Servicii bancare</t>
  </si>
  <si>
    <t>Mihnea Bosco</t>
  </si>
  <si>
    <t>20.11 CĂRŢI, PUBLICAŢII ŞI MATERIALE DOCUMENTARE</t>
  </si>
  <si>
    <t>Cărţi tipărite</t>
  </si>
  <si>
    <t>22110000-4 Cărţi tipărite</t>
  </si>
  <si>
    <t>Publicaţii</t>
  </si>
  <si>
    <t>22120000-7 Publicaţii</t>
  </si>
  <si>
    <t>Dicţionare</t>
  </si>
  <si>
    <t>22114100-3 Dicţionare</t>
  </si>
  <si>
    <t>20.12 CONSULTANŢĂ ŞI EXPERTIZĂ</t>
  </si>
  <si>
    <t>Consultanţă juridică</t>
  </si>
  <si>
    <t>74111000-0 Servicii de consultanţă juridică şi reprezentare</t>
  </si>
  <si>
    <t>Procedură proprie exceptată O.U.G. 34/2006</t>
  </si>
  <si>
    <t>20.13 PREGATIRE PROFESIONALĂ</t>
  </si>
  <si>
    <t>Servicii de perfecţionare a personalului</t>
  </si>
  <si>
    <t>79633000-0 Servicii de perfecţionare a personalului</t>
  </si>
  <si>
    <t>Servicii de învăţământ special</t>
  </si>
  <si>
    <t>80340000-9 Servicii de învăţământ special</t>
  </si>
  <si>
    <t>20.30 ALTE CHELTUIELI</t>
  </si>
  <si>
    <t>20.30.01 RECLAMA ŞI PUBLICITATE</t>
  </si>
  <si>
    <t>Servicii de publicitate</t>
  </si>
  <si>
    <t>79340000-9 Servicii de publicitate şi comercializare</t>
  </si>
  <si>
    <t>Anunţuri Monitorul Oficial</t>
  </si>
  <si>
    <t>79341000-6 Servicii de publicitate</t>
  </si>
  <si>
    <t>20.30.02 PROTOCOL SI REPREZENTARE</t>
  </si>
  <si>
    <t>20.30.02.01 PROTOCOL ŞI REPREZENTARE-MINISTRU</t>
  </si>
  <si>
    <t>Aranjamente florale</t>
  </si>
  <si>
    <t>03121210-Aranjamente florale</t>
  </si>
  <si>
    <t>Fructe tropicale</t>
  </si>
  <si>
    <t>03222110-7 Fructe tropicale</t>
  </si>
  <si>
    <t>Sucuri de fructe</t>
  </si>
  <si>
    <t>15321000-4 Sucuri de fructe</t>
  </si>
  <si>
    <t>Lapte pasteurizat</t>
  </si>
  <si>
    <t>15511100-4 Lapte pasteurizat</t>
  </si>
  <si>
    <t>Zahar</t>
  </si>
  <si>
    <t>15831000-2 Zahar</t>
  </si>
  <si>
    <t>Miere</t>
  </si>
  <si>
    <t>15831600-8 Miere</t>
  </si>
  <si>
    <t>Cafea</t>
  </si>
  <si>
    <t>15861000-1 Cafea</t>
  </si>
  <si>
    <t>Ceai</t>
  </si>
  <si>
    <t>15863000-5 ceai</t>
  </si>
  <si>
    <t>Hartie de filtru</t>
  </si>
  <si>
    <t>15994200-4 hartie de filtru</t>
  </si>
  <si>
    <t>Produse de curăţenie</t>
  </si>
  <si>
    <t>39831240-0 Produse de curăţenie</t>
  </si>
  <si>
    <t>Servicii de catering</t>
  </si>
  <si>
    <t>55520000-1 Servicii de catering</t>
  </si>
  <si>
    <t>Apa minerala plata</t>
  </si>
  <si>
    <t>15981100-9 Apă minerală plată</t>
  </si>
  <si>
    <t>Apa minerala carbogazoasa</t>
  </si>
  <si>
    <t>15981200-0 Apă minerală carbogazoasă</t>
  </si>
  <si>
    <t>Şerveţele de masă din hârtie</t>
  </si>
  <si>
    <t>39513200-3 Şerveţele de masă</t>
  </si>
  <si>
    <t>Produse patiserie</t>
  </si>
  <si>
    <t>115812100-4 Produse patiserie</t>
  </si>
  <si>
    <t>Vesela</t>
  </si>
  <si>
    <t>39221110-1 vesela</t>
  </si>
  <si>
    <t>Felicitări</t>
  </si>
  <si>
    <t>22320000-9 Felicitări</t>
  </si>
  <si>
    <t>20.30.02.02 PROTOCOL ŞI REPREZENTARE- INVITAŢI</t>
  </si>
  <si>
    <t>03121210 Aranjamente florale</t>
  </si>
  <si>
    <t xml:space="preserve"> Zahăr</t>
  </si>
  <si>
    <t>15831000-2 Zahăr</t>
  </si>
  <si>
    <t>Apă minerală plată</t>
  </si>
  <si>
    <t>Apa minerală carbogazoasă</t>
  </si>
  <si>
    <t>Servicii de cazare la hotel</t>
  </si>
  <si>
    <t xml:space="preserve"> Obiecte de artizanat</t>
  </si>
  <si>
    <t>26213000-3 Obiecte de artizanat</t>
  </si>
  <si>
    <t xml:space="preserve"> Servicii de restaurant şi catering</t>
  </si>
  <si>
    <t>Banere</t>
  </si>
  <si>
    <t>Servetele de masa</t>
  </si>
  <si>
    <t>39513200-3 servetele de masa</t>
  </si>
  <si>
    <t>Taxe intrare</t>
  </si>
  <si>
    <t>Inchiriere autobuz</t>
  </si>
  <si>
    <t>60172000-4 Inchiriere de autobuze si de autocare cu sofer</t>
  </si>
  <si>
    <t>20.30.04 CHIRII</t>
  </si>
  <si>
    <t>70310000-7 Servicii de închiriere sau de vânzare de imobile</t>
  </si>
  <si>
    <t>20.30.30 ALTE CHELTUIELI CU BUNURI ŞI SERVICII</t>
  </si>
  <si>
    <t>20.30.30.01 ALTE CHELTUIELI DIN DISPOZIŢII LEGALE</t>
  </si>
  <si>
    <t>Servicii de asigurări sociale obligatorii</t>
  </si>
  <si>
    <t>75300000-9 Servicii de asigurări sociale obligatorii</t>
  </si>
  <si>
    <t>20.30.30.02 Cheltuieli forfetare</t>
  </si>
  <si>
    <t>70333000-4 servicii de cazare</t>
  </si>
  <si>
    <t>20.30.30.04 ALTE CHELTUIELI CU SERVICII</t>
  </si>
  <si>
    <t>Titluri executorii platite in anul curent</t>
  </si>
  <si>
    <t>0000000-7 titluri executorii platite in anul curent</t>
  </si>
  <si>
    <t>Carti, brosuri si pliante tiparite</t>
  </si>
  <si>
    <t>22100000-1 Carti, brosuri si pliante tiparite</t>
  </si>
  <si>
    <t>Servicii de extensie de memorie</t>
  </si>
  <si>
    <t>72541100-0 Servicii de extensie de memorie</t>
  </si>
  <si>
    <t>Servicii foto-video</t>
  </si>
  <si>
    <t>92100000-2 Servicii de cinematografie şi servicii video</t>
  </si>
  <si>
    <t>Servicii organizare punct contact ESPON</t>
  </si>
  <si>
    <t>98113000-8 Servicii prestate de organizaţii specializate</t>
  </si>
  <si>
    <t>Total  bunuri şi servicii</t>
  </si>
  <si>
    <t>71.01.02 MAŞINI ECHIPAMENTE ŞI MIJLOACE DE TRANSPORT</t>
  </si>
  <si>
    <t>Imprimante laser</t>
  </si>
  <si>
    <t>30232110-8 Imprimante laser</t>
  </si>
  <si>
    <t>Fotocopiator color</t>
  </si>
  <si>
    <t xml:space="preserve">30121100-4 Fotocopiator </t>
  </si>
  <si>
    <t>Computere portabile</t>
  </si>
  <si>
    <t>30213100-6 Computere portabile</t>
  </si>
  <si>
    <t>Server hardware</t>
  </si>
  <si>
    <t>48821000-9 Servere de retea</t>
  </si>
  <si>
    <t>Server software</t>
  </si>
  <si>
    <t>48823000-3 Servere de fisiere</t>
  </si>
  <si>
    <t>Computer de birou</t>
  </si>
  <si>
    <t>30213300-8 Computer de birou</t>
  </si>
  <si>
    <t>71.01.30.01 ALTE ACTIVE FIXE-LICENŢE</t>
  </si>
  <si>
    <t>Pachete software de protecţie antivirus</t>
  </si>
  <si>
    <t>48760000-3Pachete software de protecţie antivirus</t>
  </si>
  <si>
    <t>Soft editare foto-video</t>
  </si>
  <si>
    <t>72212320-8 Servicii de dezvoltare de software de desen si imagistica</t>
  </si>
  <si>
    <t>Alte licenţe</t>
  </si>
  <si>
    <t>72212218-0 Servicii de dezvoltare de software pentru gestionarea licenţelor</t>
  </si>
  <si>
    <t xml:space="preserve"> Servicii de asistenţă tehnică informatică</t>
  </si>
  <si>
    <t xml:space="preserve"> 72611000-6 Servicii de asistenţă tehnică informatică</t>
  </si>
  <si>
    <t xml:space="preserve"> Pachete software IT</t>
  </si>
  <si>
    <t>48517000-5 Pachete software IT</t>
  </si>
  <si>
    <t>Total active fixe</t>
  </si>
  <si>
    <t>Total bunuri, servicii si active fixe</t>
  </si>
  <si>
    <t>*în cadrul articolelor bugetare în limita valorilor prevăzute,  se pot face realocări lunare de sume pe coduri cpv în funcţie de solicitările primite</t>
  </si>
  <si>
    <t>Servicii închiriere</t>
  </si>
  <si>
    <t>20.30.03 PRIME DE ASIGURARE NON-VIATA</t>
  </si>
  <si>
    <t>66510000-8 Servicii de asigurare</t>
  </si>
  <si>
    <t>Marker permanent</t>
  </si>
  <si>
    <t>Plicuri C4, C5, C6, plicuri cu burduf, DL fara fereastra</t>
  </si>
  <si>
    <t>Bloc notes cu spirală dublă A4, hârtie matematică şi albă, velină</t>
  </si>
  <si>
    <t xml:space="preserve">Registre, registre contabile, clasoare, formulare si alte imprimate de papetarie din hartie sau din carton </t>
  </si>
  <si>
    <t>Hârtie flipchart 100x65 cm, 50 coli/bloc</t>
  </si>
  <si>
    <t>72512000-7 Servicii de gestionare a documentelor</t>
  </si>
  <si>
    <t>Servicii de gestionare a documentelor</t>
  </si>
  <si>
    <t>48214000-1 Pachete software pentru sisteme de operare de retea</t>
  </si>
  <si>
    <t>Pachete software pentru sisteme de operare de retea</t>
  </si>
  <si>
    <t>Servicii de depozitare</t>
  </si>
  <si>
    <t>63121100-4 Servicii de depozitare</t>
  </si>
  <si>
    <t>Cerere de Oferte</t>
  </si>
  <si>
    <t>Cartuse toner</t>
  </si>
  <si>
    <t>Monitorizare presa scrisa centrala si locala, radio-tv si web</t>
  </si>
  <si>
    <t>98390000-3 Alte servicii</t>
  </si>
  <si>
    <t>licitatie deschisa</t>
  </si>
  <si>
    <t>negociere fara publicarea unui anunt</t>
  </si>
  <si>
    <t>79811000-2 Servicii de tipografie digitala</t>
  </si>
  <si>
    <t>Servicii de tipografie (legitimatii)</t>
  </si>
  <si>
    <t>Propun spre aprobare,</t>
  </si>
  <si>
    <t>Secretar general</t>
  </si>
  <si>
    <t>MARIAN NICULESCU</t>
  </si>
  <si>
    <t>33600000-6 Produse farmaceutice</t>
  </si>
  <si>
    <t>Produse farmaceutice</t>
  </si>
  <si>
    <t>exceptat OUG 34/2006</t>
  </si>
  <si>
    <t>Direcţia Buget, Finante, Contabilitate</t>
  </si>
  <si>
    <t>Director, Melania Rusnac</t>
  </si>
  <si>
    <t>Sef serviciu, Laura Coman</t>
  </si>
  <si>
    <t>Serviciul Achizitii Publice</t>
  </si>
  <si>
    <t>Serviciul Avizare Acte Normative</t>
  </si>
  <si>
    <t>Sef serviciu, Ionela Vasile</t>
  </si>
  <si>
    <t>Directia Generala Resurse Umane, IT, Adminstrativ</t>
  </si>
  <si>
    <t>Director General, Jana Mitroi</t>
  </si>
  <si>
    <t>72000000-5 Servicii IT: consultanţă, dezvoltare de software, internet şi asistenţă</t>
  </si>
  <si>
    <t>Servicii de consultanta pentru designul, grafica si organziarea continutului platformei, cat si pentru compatibilizarea platformei cu site-ul MDRAP</t>
  </si>
  <si>
    <t>Servicii de inspectia tehnica a automobilelor</t>
  </si>
  <si>
    <t>71631200-2 Servicii de inspectie tehnica a automobilelor</t>
  </si>
  <si>
    <t>Servicii montare si echilibrare pneuri</t>
  </si>
  <si>
    <t>50116400-5 Servicii montare si echilibrare pneuri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</si>
</sst>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3" fontId="3" fillId="0" borderId="0" xfId="57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57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57" applyNumberFormat="1" applyFont="1" applyFill="1" applyBorder="1" applyAlignment="1" applyProtection="1">
      <alignment horizontal="left" vertical="center"/>
      <protection/>
    </xf>
    <xf numFmtId="49" fontId="3" fillId="0" borderId="0" xfId="57" applyNumberFormat="1" applyFont="1" applyFill="1" applyBorder="1" applyAlignment="1" applyProtection="1">
      <alignment vertical="center"/>
      <protection/>
    </xf>
    <xf numFmtId="4" fontId="3" fillId="0" borderId="0" xfId="57" applyNumberFormat="1" applyFont="1" applyFill="1" applyBorder="1" applyAlignment="1" applyProtection="1">
      <alignment horizontal="right" vertical="center"/>
      <protection/>
    </xf>
    <xf numFmtId="0" fontId="3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left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4" fontId="4" fillId="0" borderId="11" xfId="57" applyNumberFormat="1" applyFont="1" applyFill="1" applyBorder="1" applyAlignment="1" applyProtection="1">
      <alignment horizontal="center" vertical="center" wrapText="1"/>
      <protection/>
    </xf>
    <xf numFmtId="4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2" xfId="57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NumberFormat="1" applyFont="1" applyFill="1" applyBorder="1" applyAlignment="1" applyProtection="1">
      <alignment horizontal="left" vertical="center" wrapText="1"/>
      <protection/>
    </xf>
    <xf numFmtId="49" fontId="4" fillId="0" borderId="13" xfId="57" applyNumberFormat="1" applyFont="1" applyFill="1" applyBorder="1" applyAlignment="1" applyProtection="1">
      <alignment horizontal="center" vertical="center"/>
      <protection/>
    </xf>
    <xf numFmtId="0" fontId="4" fillId="0" borderId="13" xfId="57" applyNumberFormat="1" applyFont="1" applyFill="1" applyBorder="1" applyAlignment="1" applyProtection="1">
      <alignment horizontal="center" vertical="center"/>
      <protection/>
    </xf>
    <xf numFmtId="4" fontId="4" fillId="0" borderId="13" xfId="57" applyNumberFormat="1" applyFont="1" applyFill="1" applyBorder="1" applyAlignment="1" applyProtection="1">
      <alignment horizontal="center" vertical="center" wrapText="1"/>
      <protection/>
    </xf>
    <xf numFmtId="0" fontId="4" fillId="0" borderId="13" xfId="57" applyNumberFormat="1" applyFont="1" applyFill="1" applyBorder="1" applyAlignment="1" applyProtection="1">
      <alignment horizontal="center" vertical="center" wrapText="1"/>
      <protection/>
    </xf>
    <xf numFmtId="0" fontId="4" fillId="0" borderId="14" xfId="57" applyNumberFormat="1" applyFont="1" applyFill="1" applyBorder="1" applyAlignment="1" applyProtection="1">
      <alignment horizontal="center" vertical="center" wrapText="1"/>
      <protection/>
    </xf>
    <xf numFmtId="0" fontId="3" fillId="0" borderId="14" xfId="57" applyNumberFormat="1" applyFont="1" applyFill="1" applyBorder="1" applyAlignment="1" applyProtection="1">
      <alignment horizontal="left" vertical="center" wrapText="1"/>
      <protection/>
    </xf>
    <xf numFmtId="49" fontId="4" fillId="33" borderId="14" xfId="57" applyNumberFormat="1" applyFont="1" applyFill="1" applyBorder="1" applyAlignment="1" applyProtection="1">
      <alignment vertical="center"/>
      <protection/>
    </xf>
    <xf numFmtId="0" fontId="4" fillId="33" borderId="15" xfId="57" applyNumberFormat="1" applyFont="1" applyFill="1" applyBorder="1" applyAlignment="1" applyProtection="1">
      <alignment horizontal="left" vertical="center"/>
      <protection/>
    </xf>
    <xf numFmtId="4" fontId="4" fillId="0" borderId="14" xfId="57" applyNumberFormat="1" applyFont="1" applyFill="1" applyBorder="1" applyAlignment="1" applyProtection="1">
      <alignment horizontal="right" vertical="center"/>
      <protection/>
    </xf>
    <xf numFmtId="4" fontId="4" fillId="0" borderId="14" xfId="57" applyNumberFormat="1" applyFont="1" applyFill="1" applyBorder="1" applyAlignment="1" applyProtection="1">
      <alignment horizontal="center" vertical="center"/>
      <protection/>
    </xf>
    <xf numFmtId="4" fontId="4" fillId="0" borderId="13" xfId="57" applyNumberFormat="1" applyFont="1" applyFill="1" applyBorder="1" applyAlignment="1" applyProtection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49" fontId="4" fillId="34" borderId="13" xfId="57" applyNumberFormat="1" applyFont="1" applyFill="1" applyBorder="1" applyAlignment="1" applyProtection="1">
      <alignment vertical="center"/>
      <protection/>
    </xf>
    <xf numFmtId="0" fontId="4" fillId="34" borderId="16" xfId="57" applyNumberFormat="1" applyFont="1" applyFill="1" applyBorder="1" applyAlignment="1" applyProtection="1">
      <alignment horizontal="left" vertical="center"/>
      <protection/>
    </xf>
    <xf numFmtId="49" fontId="3" fillId="0" borderId="13" xfId="57" applyNumberFormat="1" applyFont="1" applyFill="1" applyBorder="1" applyAlignment="1" applyProtection="1">
      <alignment horizontal="left" vertical="center" wrapText="1"/>
      <protection/>
    </xf>
    <xf numFmtId="4" fontId="3" fillId="0" borderId="13" xfId="57" applyNumberFormat="1" applyFont="1" applyFill="1" applyBorder="1" applyAlignment="1" applyProtection="1">
      <alignment vertical="center" wrapText="1"/>
      <protection/>
    </xf>
    <xf numFmtId="0" fontId="3" fillId="0" borderId="13" xfId="57" applyNumberFormat="1" applyFont="1" applyFill="1" applyBorder="1" applyAlignment="1" applyProtection="1">
      <alignment horizontal="center" vertical="center" wrapText="1"/>
      <protection/>
    </xf>
    <xf numFmtId="14" fontId="3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13" xfId="57" applyFont="1" applyFill="1" applyBorder="1" applyAlignment="1">
      <alignment vertical="center" wrapText="1"/>
    </xf>
    <xf numFmtId="49" fontId="3" fillId="0" borderId="13" xfId="57" applyNumberFormat="1" applyFont="1" applyFill="1" applyBorder="1" applyAlignment="1" applyProtection="1">
      <alignment vertical="center" wrapText="1"/>
      <protection/>
    </xf>
    <xf numFmtId="4" fontId="4" fillId="0" borderId="14" xfId="57" applyNumberFormat="1" applyFont="1" applyFill="1" applyBorder="1" applyAlignment="1" applyProtection="1">
      <alignment vertical="center"/>
      <protection/>
    </xf>
    <xf numFmtId="49" fontId="4" fillId="34" borderId="13" xfId="57" applyNumberFormat="1" applyFont="1" applyFill="1" applyBorder="1" applyAlignment="1" applyProtection="1">
      <alignment vertical="center" wrapText="1"/>
      <protection/>
    </xf>
    <xf numFmtId="4" fontId="4" fillId="0" borderId="13" xfId="57" applyNumberFormat="1" applyFont="1" applyFill="1" applyBorder="1" applyAlignment="1" applyProtection="1">
      <alignment horizontal="right" vertical="center" wrapText="1"/>
      <protection/>
    </xf>
    <xf numFmtId="4" fontId="3" fillId="0" borderId="16" xfId="57" applyNumberFormat="1" applyFont="1" applyFill="1" applyBorder="1" applyAlignment="1" applyProtection="1">
      <alignment vertical="center" wrapText="1"/>
      <protection/>
    </xf>
    <xf numFmtId="4" fontId="4" fillId="35" borderId="13" xfId="57" applyNumberFormat="1" applyFont="1" applyFill="1" applyBorder="1" applyAlignment="1" applyProtection="1">
      <alignment horizontal="right" vertical="center" wrapText="1"/>
      <protection/>
    </xf>
    <xf numFmtId="4" fontId="4" fillId="35" borderId="13" xfId="57" applyNumberFormat="1" applyFont="1" applyFill="1" applyBorder="1" applyAlignment="1" applyProtection="1">
      <alignment horizontal="center" vertical="center" wrapText="1"/>
      <protection/>
    </xf>
    <xf numFmtId="49" fontId="4" fillId="36" borderId="13" xfId="57" applyNumberFormat="1" applyFont="1" applyFill="1" applyBorder="1" applyAlignment="1" applyProtection="1">
      <alignment horizontal="left" vertical="center" wrapText="1"/>
      <protection/>
    </xf>
    <xf numFmtId="0" fontId="3" fillId="37" borderId="0" xfId="0" applyFont="1" applyFill="1" applyAlignment="1">
      <alignment vertical="center"/>
    </xf>
    <xf numFmtId="14" fontId="4" fillId="0" borderId="13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57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57" applyFont="1" applyBorder="1" applyAlignment="1">
      <alignment horizontal="left" vertical="center" wrapText="1"/>
    </xf>
    <xf numFmtId="0" fontId="3" fillId="0" borderId="13" xfId="57" applyFont="1" applyBorder="1" applyAlignment="1">
      <alignment vertical="center" wrapText="1"/>
    </xf>
    <xf numFmtId="49" fontId="4" fillId="33" borderId="13" xfId="57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/>
    </xf>
    <xf numFmtId="4" fontId="3" fillId="0" borderId="13" xfId="57" applyNumberFormat="1" applyFont="1" applyFill="1" applyBorder="1" applyAlignment="1" applyProtection="1">
      <alignment horizontal="center" vertical="center" wrapText="1"/>
      <protection/>
    </xf>
    <xf numFmtId="49" fontId="4" fillId="36" borderId="13" xfId="57" applyNumberFormat="1" applyFont="1" applyFill="1" applyBorder="1" applyAlignment="1" applyProtection="1">
      <alignment vertical="center" wrapText="1"/>
      <protection/>
    </xf>
    <xf numFmtId="49" fontId="3" fillId="0" borderId="16" xfId="57" applyNumberFormat="1" applyFont="1" applyFill="1" applyBorder="1" applyAlignment="1" applyProtection="1">
      <alignment vertical="center" wrapText="1"/>
      <protection/>
    </xf>
    <xf numFmtId="0" fontId="3" fillId="0" borderId="18" xfId="57" applyNumberFormat="1" applyFont="1" applyFill="1" applyBorder="1" applyAlignment="1" applyProtection="1">
      <alignment horizontal="left" vertical="center" wrapText="1"/>
      <protection/>
    </xf>
    <xf numFmtId="49" fontId="5" fillId="38" borderId="13" xfId="57" applyNumberFormat="1" applyFont="1" applyFill="1" applyBorder="1" applyAlignment="1" applyProtection="1">
      <alignment vertical="center" wrapText="1"/>
      <protection/>
    </xf>
    <xf numFmtId="4" fontId="5" fillId="0" borderId="13" xfId="57" applyNumberFormat="1" applyFont="1" applyFill="1" applyBorder="1" applyAlignment="1" applyProtection="1">
      <alignment horizontal="right" vertical="center" wrapText="1"/>
      <protection/>
    </xf>
    <xf numFmtId="4" fontId="5" fillId="0" borderId="13" xfId="57" applyNumberFormat="1" applyFont="1" applyFill="1" applyBorder="1" applyAlignment="1" applyProtection="1">
      <alignment horizontal="center" vertical="center" wrapText="1"/>
      <protection/>
    </xf>
    <xf numFmtId="4" fontId="5" fillId="0" borderId="16" xfId="57" applyNumberFormat="1" applyFont="1" applyFill="1" applyBorder="1" applyAlignment="1" applyProtection="1">
      <alignment horizontal="right" vertical="center" wrapText="1"/>
      <protection/>
    </xf>
    <xf numFmtId="49" fontId="5" fillId="35" borderId="0" xfId="57" applyNumberFormat="1" applyFont="1" applyFill="1" applyBorder="1" applyAlignment="1" applyProtection="1">
      <alignment vertical="center" wrapText="1"/>
      <protection/>
    </xf>
    <xf numFmtId="4" fontId="5" fillId="0" borderId="0" xfId="57" applyNumberFormat="1" applyFont="1" applyFill="1" applyBorder="1" applyAlignment="1" applyProtection="1">
      <alignment horizontal="right" vertical="center" wrapText="1"/>
      <protection/>
    </xf>
    <xf numFmtId="4" fontId="5" fillId="0" borderId="0" xfId="57" applyNumberFormat="1" applyFont="1" applyFill="1" applyBorder="1" applyAlignment="1" applyProtection="1">
      <alignment horizontal="center" vertical="center" wrapText="1"/>
      <protection/>
    </xf>
    <xf numFmtId="14" fontId="3" fillId="0" borderId="0" xfId="57" applyNumberFormat="1" applyFont="1" applyFill="1" applyBorder="1" applyAlignment="1" applyProtection="1">
      <alignment horizontal="center" vertical="center" wrapText="1"/>
      <protection/>
    </xf>
    <xf numFmtId="4" fontId="5" fillId="0" borderId="17" xfId="57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5" fillId="0" borderId="13" xfId="57" applyNumberFormat="1" applyFont="1" applyFill="1" applyBorder="1" applyAlignment="1" applyProtection="1">
      <alignment horizontal="left" vertical="center" wrapText="1"/>
      <protection/>
    </xf>
    <xf numFmtId="4" fontId="4" fillId="0" borderId="13" xfId="57" applyNumberFormat="1" applyFont="1" applyFill="1" applyBorder="1" applyAlignment="1">
      <alignment horizontal="center" vertical="center" wrapText="1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>
      <alignment vertical="center" wrapText="1"/>
    </xf>
    <xf numFmtId="0" fontId="4" fillId="0" borderId="13" xfId="57" applyFont="1" applyFill="1" applyBorder="1" applyAlignment="1">
      <alignment horizontal="left" vertical="center" wrapText="1"/>
    </xf>
    <xf numFmtId="49" fontId="5" fillId="0" borderId="13" xfId="57" applyNumberFormat="1" applyFont="1" applyFill="1" applyBorder="1" applyAlignment="1" applyProtection="1">
      <alignment horizontal="left" vertical="center" wrapText="1"/>
      <protection/>
    </xf>
    <xf numFmtId="0" fontId="4" fillId="0" borderId="16" xfId="57" applyFont="1" applyFill="1" applyBorder="1" applyAlignment="1">
      <alignment vertical="center" wrapText="1"/>
    </xf>
    <xf numFmtId="0" fontId="3" fillId="0" borderId="13" xfId="57" applyFont="1" applyFill="1" applyBorder="1" applyAlignment="1">
      <alignment horizontal="left" vertical="center"/>
    </xf>
    <xf numFmtId="0" fontId="5" fillId="39" borderId="16" xfId="57" applyFont="1" applyFill="1" applyBorder="1" applyAlignment="1">
      <alignment vertical="center"/>
    </xf>
    <xf numFmtId="0" fontId="5" fillId="39" borderId="13" xfId="57" applyFont="1" applyFill="1" applyBorder="1" applyAlignment="1">
      <alignment horizontal="left" vertical="center"/>
    </xf>
    <xf numFmtId="4" fontId="5" fillId="0" borderId="13" xfId="57" applyNumberFormat="1" applyFont="1" applyFill="1" applyBorder="1" applyAlignment="1">
      <alignment vertical="center"/>
    </xf>
    <xf numFmtId="4" fontId="5" fillId="0" borderId="13" xfId="57" applyNumberFormat="1" applyFont="1" applyFill="1" applyBorder="1" applyAlignment="1">
      <alignment horizontal="center" vertical="center"/>
    </xf>
    <xf numFmtId="0" fontId="3" fillId="0" borderId="16" xfId="57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left" vertical="center"/>
    </xf>
    <xf numFmtId="0" fontId="5" fillId="0" borderId="0" xfId="57" applyFont="1" applyFill="1" applyBorder="1" applyAlignment="1">
      <alignment vertical="center"/>
    </xf>
    <xf numFmtId="0" fontId="5" fillId="0" borderId="13" xfId="57" applyFont="1" applyFill="1" applyBorder="1" applyAlignment="1">
      <alignment horizontal="left" vertical="center"/>
    </xf>
    <xf numFmtId="0" fontId="3" fillId="0" borderId="0" xfId="57" applyFont="1" applyFill="1" applyAlignment="1">
      <alignment horizontal="left" vertical="center"/>
    </xf>
    <xf numFmtId="0" fontId="5" fillId="0" borderId="0" xfId="57" applyFont="1" applyFill="1" applyAlignment="1">
      <alignment vertical="center"/>
    </xf>
    <xf numFmtId="0" fontId="5" fillId="0" borderId="0" xfId="57" applyFont="1" applyFill="1" applyAlignment="1">
      <alignment horizontal="left" vertical="center"/>
    </xf>
    <xf numFmtId="4" fontId="5" fillId="0" borderId="0" xfId="57" applyNumberFormat="1" applyFont="1" applyFill="1" applyAlignment="1">
      <alignment horizontal="center" vertical="center"/>
    </xf>
    <xf numFmtId="4" fontId="5" fillId="0" borderId="0" xfId="57" applyNumberFormat="1" applyFont="1" applyFill="1" applyAlignment="1">
      <alignment vertical="center"/>
    </xf>
    <xf numFmtId="0" fontId="3" fillId="0" borderId="0" xfId="57" applyFont="1" applyFill="1" applyAlignment="1">
      <alignment horizontal="center" vertical="center"/>
    </xf>
    <xf numFmtId="4" fontId="3" fillId="0" borderId="0" xfId="57" applyNumberFormat="1" applyFont="1" applyFill="1" applyAlignment="1">
      <alignment horizontal="center" vertical="center"/>
    </xf>
    <xf numFmtId="0" fontId="4" fillId="0" borderId="0" xfId="57" applyFont="1" applyFill="1" applyAlignment="1">
      <alignment vertical="center"/>
    </xf>
    <xf numFmtId="0" fontId="4" fillId="0" borderId="0" xfId="57" applyFont="1" applyFill="1" applyAlignment="1">
      <alignment horizontal="left" vertical="center"/>
    </xf>
    <xf numFmtId="0" fontId="4" fillId="0" borderId="0" xfId="57" applyFont="1" applyFill="1" applyAlignment="1">
      <alignment horizontal="center" vertical="center"/>
    </xf>
    <xf numFmtId="4" fontId="4" fillId="0" borderId="13" xfId="57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4" fontId="4" fillId="0" borderId="15" xfId="57" applyNumberFormat="1" applyFont="1" applyFill="1" applyBorder="1" applyAlignment="1" applyProtection="1">
      <alignment vertical="center"/>
      <protection/>
    </xf>
    <xf numFmtId="4" fontId="4" fillId="0" borderId="16" xfId="57" applyNumberFormat="1" applyFont="1" applyFill="1" applyBorder="1" applyAlignment="1" applyProtection="1">
      <alignment vertical="center" wrapText="1"/>
      <protection/>
    </xf>
    <xf numFmtId="4" fontId="4" fillId="35" borderId="13" xfId="57" applyNumberFormat="1" applyFont="1" applyFill="1" applyBorder="1" applyAlignment="1" applyProtection="1">
      <alignment vertical="center" wrapText="1"/>
      <protection/>
    </xf>
    <xf numFmtId="4" fontId="5" fillId="0" borderId="13" xfId="57" applyNumberFormat="1" applyFont="1" applyFill="1" applyBorder="1" applyAlignment="1" applyProtection="1">
      <alignment vertical="center" wrapText="1"/>
      <protection/>
    </xf>
    <xf numFmtId="4" fontId="4" fillId="0" borderId="13" xfId="57" applyNumberFormat="1" applyFont="1" applyFill="1" applyBorder="1" applyAlignment="1" applyProtection="1">
      <alignment vertical="center"/>
      <protection/>
    </xf>
    <xf numFmtId="4" fontId="5" fillId="0" borderId="0" xfId="57" applyNumberFormat="1" applyFont="1" applyFill="1" applyBorder="1" applyAlignment="1" applyProtection="1">
      <alignment vertical="center" wrapText="1"/>
      <protection/>
    </xf>
    <xf numFmtId="4" fontId="4" fillId="0" borderId="0" xfId="57" applyNumberFormat="1" applyFont="1" applyFill="1" applyBorder="1" applyAlignment="1" applyProtection="1">
      <alignment vertical="center"/>
      <protection/>
    </xf>
    <xf numFmtId="4" fontId="4" fillId="0" borderId="13" xfId="57" applyNumberFormat="1" applyFont="1" applyFill="1" applyBorder="1" applyAlignment="1">
      <alignment vertical="center" wrapText="1"/>
    </xf>
    <xf numFmtId="0" fontId="3" fillId="0" borderId="13" xfId="57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57" applyNumberFormat="1" applyFont="1" applyFill="1" applyAlignment="1">
      <alignment horizontal="center" vertical="center" wrapText="1"/>
    </xf>
    <xf numFmtId="0" fontId="3" fillId="40" borderId="13" xfId="57" applyNumberFormat="1" applyFont="1" applyFill="1" applyBorder="1" applyAlignment="1" applyProtection="1">
      <alignment horizontal="center" vertical="center" wrapText="1"/>
      <protection/>
    </xf>
    <xf numFmtId="0" fontId="4" fillId="34" borderId="13" xfId="57" applyFont="1" applyFill="1" applyBorder="1" applyAlignment="1">
      <alignment vertical="center" wrapText="1"/>
    </xf>
    <xf numFmtId="0" fontId="4" fillId="34" borderId="16" xfId="57" applyFont="1" applyFill="1" applyBorder="1" applyAlignment="1">
      <alignment vertical="center" wrapText="1"/>
    </xf>
    <xf numFmtId="0" fontId="4" fillId="34" borderId="19" xfId="57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9"/>
  <sheetViews>
    <sheetView tabSelected="1" zoomScalePageLayoutView="0" workbookViewId="0" topLeftCell="A206">
      <selection activeCell="C292" sqref="C292"/>
    </sheetView>
  </sheetViews>
  <sheetFormatPr defaultColWidth="9.140625" defaultRowHeight="19.5" customHeight="1"/>
  <cols>
    <col min="1" max="1" width="5.00390625" style="1" customWidth="1"/>
    <col min="2" max="2" width="38.8515625" style="8" customWidth="1"/>
    <col min="3" max="3" width="32.421875" style="14" customWidth="1"/>
    <col min="4" max="4" width="13.140625" style="8" customWidth="1"/>
    <col min="5" max="5" width="8.28125" style="8" hidden="1" customWidth="1"/>
    <col min="6" max="6" width="1.1484375" style="8" hidden="1" customWidth="1"/>
    <col min="7" max="7" width="14.00390625" style="8" customWidth="1"/>
    <col min="8" max="8" width="12.7109375" style="6" customWidth="1"/>
    <col min="9" max="9" width="13.00390625" style="6" customWidth="1"/>
    <col min="10" max="10" width="10.7109375" style="6" customWidth="1"/>
    <col min="11" max="11" width="10.8515625" style="6" customWidth="1"/>
    <col min="12" max="12" width="11.00390625" style="6" customWidth="1"/>
    <col min="13" max="13" width="18.140625" style="6" customWidth="1"/>
    <col min="14" max="24" width="9.140625" style="7" customWidth="1"/>
    <col min="25" max="16384" width="9.140625" style="8" customWidth="1"/>
  </cols>
  <sheetData>
    <row r="1" spans="2:11" ht="19.5" customHeight="1">
      <c r="B1" s="2" t="s">
        <v>0</v>
      </c>
      <c r="C1" s="3"/>
      <c r="D1" s="4"/>
      <c r="E1" s="4"/>
      <c r="F1" s="4"/>
      <c r="G1" s="4"/>
      <c r="H1" s="5"/>
      <c r="J1" s="127" t="s">
        <v>1</v>
      </c>
      <c r="K1" s="127"/>
    </row>
    <row r="2" spans="3:11" ht="19.5" customHeight="1">
      <c r="C2" s="9"/>
      <c r="D2" s="10"/>
      <c r="E2" s="7"/>
      <c r="F2" s="7"/>
      <c r="G2" s="7"/>
      <c r="H2" s="11"/>
      <c r="J2" s="128" t="s">
        <v>2</v>
      </c>
      <c r="K2" s="128"/>
    </row>
    <row r="3" spans="3:13" ht="12">
      <c r="C3" s="13"/>
      <c r="D3" s="7"/>
      <c r="E3" s="7"/>
      <c r="F3" s="7"/>
      <c r="G3" s="7"/>
      <c r="H3" s="128" t="s">
        <v>3</v>
      </c>
      <c r="I3" s="128"/>
      <c r="J3" s="128"/>
      <c r="K3" s="128"/>
      <c r="L3" s="128"/>
      <c r="M3" s="128"/>
    </row>
    <row r="4" spans="3:12" ht="19.5" customHeight="1">
      <c r="C4" s="8" t="s">
        <v>475</v>
      </c>
      <c r="D4" s="10"/>
      <c r="E4" s="7"/>
      <c r="F4" s="7"/>
      <c r="G4" s="10"/>
      <c r="H4" s="10"/>
      <c r="I4" s="128" t="s">
        <v>4</v>
      </c>
      <c r="J4" s="128"/>
      <c r="K4" s="128"/>
      <c r="L4" s="128"/>
    </row>
    <row r="5" spans="3:11" ht="13.5" customHeight="1">
      <c r="C5" s="2" t="s">
        <v>476</v>
      </c>
      <c r="D5" s="10"/>
      <c r="E5" s="10"/>
      <c r="F5" s="10"/>
      <c r="G5" s="10"/>
      <c r="H5" s="10"/>
      <c r="J5" s="12"/>
      <c r="K5" s="12"/>
    </row>
    <row r="6" spans="3:11" ht="12">
      <c r="C6" s="2" t="s">
        <v>477</v>
      </c>
      <c r="J6" s="12"/>
      <c r="K6" s="12"/>
    </row>
    <row r="7" spans="10:11" ht="12">
      <c r="J7" s="12"/>
      <c r="K7" s="12"/>
    </row>
    <row r="8" spans="2:11" ht="19.5" customHeight="1">
      <c r="B8" s="14">
        <v>4.37</v>
      </c>
      <c r="C8" s="15"/>
      <c r="D8" s="16"/>
      <c r="G8" s="16"/>
      <c r="I8" s="17"/>
      <c r="J8" s="12"/>
      <c r="K8" s="12"/>
    </row>
    <row r="9" spans="2:9" ht="19.5" customHeight="1">
      <c r="B9" s="1">
        <v>1.24</v>
      </c>
      <c r="G9" s="16"/>
      <c r="H9" s="17"/>
      <c r="I9" s="17"/>
    </row>
    <row r="10" spans="2:10" ht="19.5" customHeight="1">
      <c r="B10" s="18" t="s">
        <v>5</v>
      </c>
      <c r="C10" s="18"/>
      <c r="D10" s="19"/>
      <c r="E10" s="2"/>
      <c r="F10" s="2"/>
      <c r="G10" s="2"/>
      <c r="H10" s="17"/>
      <c r="I10" s="17"/>
      <c r="J10" s="12"/>
    </row>
    <row r="11" spans="1:13" ht="9.75" customHeight="1" thickBot="1">
      <c r="A11" s="20"/>
      <c r="B11" s="21"/>
      <c r="C11" s="20"/>
      <c r="D11" s="22"/>
      <c r="E11" s="22"/>
      <c r="F11" s="22"/>
      <c r="G11" s="22"/>
      <c r="H11" s="23"/>
      <c r="I11" s="23"/>
      <c r="J11" s="23"/>
      <c r="K11" s="23"/>
      <c r="L11" s="23"/>
      <c r="M11" s="23"/>
    </row>
    <row r="12" spans="1:13" ht="79.5" customHeight="1" thickBot="1">
      <c r="A12" s="24" t="s">
        <v>6</v>
      </c>
      <c r="B12" s="25" t="s">
        <v>7</v>
      </c>
      <c r="C12" s="26" t="s">
        <v>8</v>
      </c>
      <c r="D12" s="27" t="s">
        <v>9</v>
      </c>
      <c r="E12" s="27"/>
      <c r="F12" s="27"/>
      <c r="G12" s="28" t="s">
        <v>10</v>
      </c>
      <c r="H12" s="28" t="s">
        <v>11</v>
      </c>
      <c r="I12" s="28" t="s">
        <v>12</v>
      </c>
      <c r="J12" s="29" t="s">
        <v>13</v>
      </c>
      <c r="K12" s="29" t="s">
        <v>14</v>
      </c>
      <c r="L12" s="29" t="s">
        <v>15</v>
      </c>
      <c r="M12" s="30" t="s">
        <v>16</v>
      </c>
    </row>
    <row r="13" spans="1:13" ht="19.5" customHeight="1">
      <c r="A13" s="31"/>
      <c r="B13" s="32"/>
      <c r="C13" s="33"/>
      <c r="D13" s="34"/>
      <c r="E13" s="34"/>
      <c r="F13" s="34"/>
      <c r="G13" s="34"/>
      <c r="H13" s="35"/>
      <c r="I13" s="35"/>
      <c r="J13" s="35"/>
      <c r="K13" s="35"/>
      <c r="L13" s="35"/>
      <c r="M13" s="36"/>
    </row>
    <row r="14" spans="1:13" ht="19.5" customHeight="1">
      <c r="A14" s="37"/>
      <c r="B14" s="38" t="s">
        <v>17</v>
      </c>
      <c r="C14" s="39"/>
      <c r="D14" s="52">
        <f>D15+D55+D57+D61+D64+D67+D79+D86+D106</f>
        <v>1230788.760411344</v>
      </c>
      <c r="E14" s="52">
        <f>G14/D14</f>
        <v>4.370000007778909</v>
      </c>
      <c r="F14" s="52">
        <f>H14/G14</f>
        <v>1.2397441415280972</v>
      </c>
      <c r="G14" s="52">
        <f>G15+G55+G57+G61+G64+G67+G79+G86+G106</f>
        <v>5378546.892571767</v>
      </c>
      <c r="H14" s="52">
        <f>H15+H55+H57+H61+H64+H67+H79+H86+H106</f>
        <v>6668022</v>
      </c>
      <c r="I14" s="52">
        <f>H14</f>
        <v>6668022</v>
      </c>
      <c r="J14" s="41"/>
      <c r="K14" s="40"/>
      <c r="L14" s="40"/>
      <c r="M14" s="42"/>
    </row>
    <row r="15" spans="1:13" ht="19.5" customHeight="1">
      <c r="A15" s="43"/>
      <c r="B15" s="44" t="s">
        <v>18</v>
      </c>
      <c r="C15" s="45"/>
      <c r="D15" s="112">
        <f>SUM(D16:D54)</f>
        <v>32668.116211707405</v>
      </c>
      <c r="E15" s="52">
        <f aca="true" t="shared" si="0" ref="E15:E61">G15/D15</f>
        <v>4.370000293074549</v>
      </c>
      <c r="F15" s="52">
        <f aca="true" t="shared" si="1" ref="F15:F62">H15/G15</f>
        <v>1.2400000000000004</v>
      </c>
      <c r="G15" s="112">
        <f>SUM(G16:G54)</f>
        <v>142759.6774193548</v>
      </c>
      <c r="H15" s="112">
        <f>SUM(H16:H54)</f>
        <v>177022</v>
      </c>
      <c r="I15" s="112">
        <f>H15</f>
        <v>177022</v>
      </c>
      <c r="J15" s="41"/>
      <c r="K15" s="40"/>
      <c r="L15" s="40"/>
      <c r="M15" s="42"/>
    </row>
    <row r="16" spans="1:13" ht="24">
      <c r="A16" s="48">
        <v>1</v>
      </c>
      <c r="B16" s="46" t="s">
        <v>20</v>
      </c>
      <c r="C16" s="43" t="s">
        <v>21</v>
      </c>
      <c r="D16" s="47">
        <f>G16/$B$8</f>
        <v>36.908540636303236</v>
      </c>
      <c r="E16" s="52">
        <f t="shared" si="0"/>
        <v>4.37</v>
      </c>
      <c r="F16" s="52">
        <f t="shared" si="1"/>
        <v>1.24</v>
      </c>
      <c r="G16" s="47">
        <f aca="true" t="shared" si="2" ref="G16:G54">H16/$B$9</f>
        <v>161.29032258064515</v>
      </c>
      <c r="H16" s="47">
        <v>200</v>
      </c>
      <c r="I16" s="47">
        <f aca="true" t="shared" si="3" ref="I16:I62">H16</f>
        <v>200</v>
      </c>
      <c r="J16" s="48" t="str">
        <f aca="true" t="shared" si="4" ref="J16:J53">IF(D16&lt;=15000,"Cumparare directa",IF(D16&lt;=130000,"Cerere de Oferte","Licitatie deschisa"))</f>
        <v>Cumparare directa</v>
      </c>
      <c r="K16" s="49">
        <v>41275</v>
      </c>
      <c r="L16" s="49">
        <v>41639</v>
      </c>
      <c r="M16" s="48" t="s">
        <v>19</v>
      </c>
    </row>
    <row r="17" spans="1:13" ht="24">
      <c r="A17" s="48">
        <v>2</v>
      </c>
      <c r="B17" s="46" t="s">
        <v>22</v>
      </c>
      <c r="C17" s="46" t="s">
        <v>23</v>
      </c>
      <c r="D17" s="47">
        <f aca="true" t="shared" si="5" ref="D17:D41">G17/$B$8</f>
        <v>92.2713515907581</v>
      </c>
      <c r="E17" s="52">
        <f t="shared" si="0"/>
        <v>4.37</v>
      </c>
      <c r="F17" s="52">
        <f t="shared" si="1"/>
        <v>1.24</v>
      </c>
      <c r="G17" s="47">
        <f t="shared" si="2"/>
        <v>403.2258064516129</v>
      </c>
      <c r="H17" s="47">
        <v>500</v>
      </c>
      <c r="I17" s="47">
        <f t="shared" si="3"/>
        <v>500</v>
      </c>
      <c r="J17" s="48" t="str">
        <f t="shared" si="4"/>
        <v>Cumparare directa</v>
      </c>
      <c r="K17" s="49">
        <v>41275</v>
      </c>
      <c r="L17" s="49">
        <v>41639</v>
      </c>
      <c r="M17" s="48" t="s">
        <v>19</v>
      </c>
    </row>
    <row r="18" spans="1:13" ht="24">
      <c r="A18" s="48">
        <v>3</v>
      </c>
      <c r="B18" s="50" t="s">
        <v>24</v>
      </c>
      <c r="C18" s="43" t="s">
        <v>25</v>
      </c>
      <c r="D18" s="47">
        <f t="shared" si="5"/>
        <v>184.5427031815162</v>
      </c>
      <c r="E18" s="52">
        <f t="shared" si="0"/>
        <v>4.37</v>
      </c>
      <c r="F18" s="52">
        <f t="shared" si="1"/>
        <v>1.24</v>
      </c>
      <c r="G18" s="47">
        <f t="shared" si="2"/>
        <v>806.4516129032259</v>
      </c>
      <c r="H18" s="47">
        <v>1000</v>
      </c>
      <c r="I18" s="47">
        <f t="shared" si="3"/>
        <v>1000</v>
      </c>
      <c r="J18" s="48" t="str">
        <f t="shared" si="4"/>
        <v>Cumparare directa</v>
      </c>
      <c r="K18" s="49">
        <v>41275</v>
      </c>
      <c r="L18" s="49">
        <v>41639</v>
      </c>
      <c r="M18" s="48" t="s">
        <v>19</v>
      </c>
    </row>
    <row r="19" spans="1:13" ht="36">
      <c r="A19" s="48">
        <v>4</v>
      </c>
      <c r="B19" s="50" t="s">
        <v>26</v>
      </c>
      <c r="C19" s="43" t="s">
        <v>25</v>
      </c>
      <c r="D19" s="47">
        <f t="shared" si="5"/>
        <v>184.5427031815162</v>
      </c>
      <c r="E19" s="52">
        <f t="shared" si="0"/>
        <v>4.37</v>
      </c>
      <c r="F19" s="52">
        <f t="shared" si="1"/>
        <v>1.24</v>
      </c>
      <c r="G19" s="47">
        <f t="shared" si="2"/>
        <v>806.4516129032259</v>
      </c>
      <c r="H19" s="47">
        <v>1000</v>
      </c>
      <c r="I19" s="47">
        <f t="shared" si="3"/>
        <v>1000</v>
      </c>
      <c r="J19" s="48" t="str">
        <f t="shared" si="4"/>
        <v>Cumparare directa</v>
      </c>
      <c r="K19" s="49">
        <v>41275</v>
      </c>
      <c r="L19" s="49">
        <v>41639</v>
      </c>
      <c r="M19" s="48" t="s">
        <v>19</v>
      </c>
    </row>
    <row r="20" spans="1:13" ht="24">
      <c r="A20" s="48">
        <v>5</v>
      </c>
      <c r="B20" s="46" t="s">
        <v>27</v>
      </c>
      <c r="C20" s="43" t="s">
        <v>25</v>
      </c>
      <c r="D20" s="47">
        <f t="shared" si="5"/>
        <v>18.454270318151618</v>
      </c>
      <c r="E20" s="52">
        <f t="shared" si="0"/>
        <v>4.37</v>
      </c>
      <c r="F20" s="52">
        <f t="shared" si="1"/>
        <v>1.24</v>
      </c>
      <c r="G20" s="47">
        <f t="shared" si="2"/>
        <v>80.64516129032258</v>
      </c>
      <c r="H20" s="47">
        <v>100</v>
      </c>
      <c r="I20" s="47">
        <f t="shared" si="3"/>
        <v>100</v>
      </c>
      <c r="J20" s="48" t="str">
        <f t="shared" si="4"/>
        <v>Cumparare directa</v>
      </c>
      <c r="K20" s="49">
        <v>41275</v>
      </c>
      <c r="L20" s="49">
        <v>41639</v>
      </c>
      <c r="M20" s="48" t="s">
        <v>19</v>
      </c>
    </row>
    <row r="21" spans="1:13" ht="48">
      <c r="A21" s="48">
        <v>6</v>
      </c>
      <c r="B21" s="50" t="s">
        <v>459</v>
      </c>
      <c r="C21" s="43" t="s">
        <v>28</v>
      </c>
      <c r="D21" s="47">
        <f t="shared" si="5"/>
        <v>313.72259540857755</v>
      </c>
      <c r="E21" s="52">
        <f t="shared" si="0"/>
        <v>4.37</v>
      </c>
      <c r="F21" s="52">
        <f t="shared" si="1"/>
        <v>1.24</v>
      </c>
      <c r="G21" s="47">
        <f t="shared" si="2"/>
        <v>1370.967741935484</v>
      </c>
      <c r="H21" s="47">
        <v>1700</v>
      </c>
      <c r="I21" s="47">
        <f t="shared" si="3"/>
        <v>1700</v>
      </c>
      <c r="J21" s="48" t="str">
        <f t="shared" si="4"/>
        <v>Cumparare directa</v>
      </c>
      <c r="K21" s="49">
        <v>41275</v>
      </c>
      <c r="L21" s="49">
        <v>41639</v>
      </c>
      <c r="M21" s="48" t="s">
        <v>19</v>
      </c>
    </row>
    <row r="22" spans="1:13" ht="24">
      <c r="A22" s="48">
        <v>7</v>
      </c>
      <c r="B22" s="50" t="s">
        <v>458</v>
      </c>
      <c r="C22" s="43" t="s">
        <v>29</v>
      </c>
      <c r="D22" s="47">
        <f t="shared" si="5"/>
        <v>184.5427031815162</v>
      </c>
      <c r="E22" s="52">
        <f t="shared" si="0"/>
        <v>4.37</v>
      </c>
      <c r="F22" s="52">
        <f t="shared" si="1"/>
        <v>1.24</v>
      </c>
      <c r="G22" s="47">
        <f>H22/$B$9</f>
        <v>806.4516129032259</v>
      </c>
      <c r="H22" s="47">
        <v>1000</v>
      </c>
      <c r="I22" s="47">
        <f t="shared" si="3"/>
        <v>1000</v>
      </c>
      <c r="J22" s="48" t="str">
        <f>IF(D22&lt;=15000,"Cumparare directa",IF(D22&lt;=130000,"Cerere de Oferte","Licitatie deschisa"))</f>
        <v>Cumparare directa</v>
      </c>
      <c r="K22" s="49">
        <v>41275</v>
      </c>
      <c r="L22" s="49">
        <v>41639</v>
      </c>
      <c r="M22" s="48" t="s">
        <v>19</v>
      </c>
    </row>
    <row r="23" spans="1:13" ht="24">
      <c r="A23" s="48">
        <v>8</v>
      </c>
      <c r="B23" s="50" t="s">
        <v>30</v>
      </c>
      <c r="C23" s="43" t="s">
        <v>31</v>
      </c>
      <c r="D23" s="47">
        <f t="shared" si="5"/>
        <v>184.5427031815162</v>
      </c>
      <c r="E23" s="52">
        <f t="shared" si="0"/>
        <v>4.37</v>
      </c>
      <c r="F23" s="52">
        <f t="shared" si="1"/>
        <v>1.24</v>
      </c>
      <c r="G23" s="47">
        <f t="shared" si="2"/>
        <v>806.4516129032259</v>
      </c>
      <c r="H23" s="47">
        <v>1000</v>
      </c>
      <c r="I23" s="47">
        <f t="shared" si="3"/>
        <v>1000</v>
      </c>
      <c r="J23" s="48" t="str">
        <f t="shared" si="4"/>
        <v>Cumparare directa</v>
      </c>
      <c r="K23" s="49">
        <v>41275</v>
      </c>
      <c r="L23" s="49">
        <v>41639</v>
      </c>
      <c r="M23" s="48" t="s">
        <v>19</v>
      </c>
    </row>
    <row r="24" spans="1:13" ht="24">
      <c r="A24" s="48">
        <v>9</v>
      </c>
      <c r="B24" s="50" t="s">
        <v>32</v>
      </c>
      <c r="C24" s="43" t="s">
        <v>33</v>
      </c>
      <c r="D24" s="47">
        <f t="shared" si="5"/>
        <v>18.454270318151618</v>
      </c>
      <c r="E24" s="52">
        <f t="shared" si="0"/>
        <v>4.37</v>
      </c>
      <c r="F24" s="52">
        <f t="shared" si="1"/>
        <v>1.24</v>
      </c>
      <c r="G24" s="47">
        <f t="shared" si="2"/>
        <v>80.64516129032258</v>
      </c>
      <c r="H24" s="47">
        <v>100</v>
      </c>
      <c r="I24" s="47">
        <f t="shared" si="3"/>
        <v>100</v>
      </c>
      <c r="J24" s="48" t="str">
        <f t="shared" si="4"/>
        <v>Cumparare directa</v>
      </c>
      <c r="K24" s="49">
        <v>41275</v>
      </c>
      <c r="L24" s="49">
        <v>41639</v>
      </c>
      <c r="M24" s="48" t="s">
        <v>19</v>
      </c>
    </row>
    <row r="25" spans="1:13" ht="24">
      <c r="A25" s="48">
        <v>10</v>
      </c>
      <c r="B25" s="46" t="s">
        <v>34</v>
      </c>
      <c r="C25" s="43" t="s">
        <v>35</v>
      </c>
      <c r="D25" s="47">
        <f t="shared" si="5"/>
        <v>3690.854063630324</v>
      </c>
      <c r="E25" s="52">
        <f t="shared" si="0"/>
        <v>4.37</v>
      </c>
      <c r="F25" s="52">
        <f t="shared" si="1"/>
        <v>1.24</v>
      </c>
      <c r="G25" s="47">
        <f t="shared" si="2"/>
        <v>16129.032258064517</v>
      </c>
      <c r="H25" s="47">
        <v>20000</v>
      </c>
      <c r="I25" s="47">
        <f t="shared" si="3"/>
        <v>20000</v>
      </c>
      <c r="J25" s="48" t="str">
        <f t="shared" si="4"/>
        <v>Cumparare directa</v>
      </c>
      <c r="K25" s="49">
        <v>41275</v>
      </c>
      <c r="L25" s="49">
        <v>41639</v>
      </c>
      <c r="M25" s="48" t="s">
        <v>19</v>
      </c>
    </row>
    <row r="26" spans="1:13" ht="24">
      <c r="A26" s="48">
        <v>11</v>
      </c>
      <c r="B26" s="46" t="s">
        <v>36</v>
      </c>
      <c r="C26" s="43" t="s">
        <v>37</v>
      </c>
      <c r="D26" s="47">
        <f t="shared" si="5"/>
        <v>83.04421643168229</v>
      </c>
      <c r="E26" s="52">
        <f t="shared" si="0"/>
        <v>4.37</v>
      </c>
      <c r="F26" s="52">
        <f t="shared" si="1"/>
        <v>1.24</v>
      </c>
      <c r="G26" s="47">
        <f t="shared" si="2"/>
        <v>362.9032258064516</v>
      </c>
      <c r="H26" s="47">
        <f>200+250</f>
        <v>450</v>
      </c>
      <c r="I26" s="47">
        <f t="shared" si="3"/>
        <v>450</v>
      </c>
      <c r="J26" s="48" t="str">
        <f t="shared" si="4"/>
        <v>Cumparare directa</v>
      </c>
      <c r="K26" s="49">
        <v>41275</v>
      </c>
      <c r="L26" s="49">
        <v>41639</v>
      </c>
      <c r="M26" s="48" t="s">
        <v>19</v>
      </c>
    </row>
    <row r="27" spans="1:13" ht="36">
      <c r="A27" s="48">
        <v>12</v>
      </c>
      <c r="B27" s="46" t="s">
        <v>38</v>
      </c>
      <c r="C27" s="43" t="s">
        <v>39</v>
      </c>
      <c r="D27" s="47">
        <f t="shared" si="5"/>
        <v>92.2713515907581</v>
      </c>
      <c r="E27" s="52">
        <f t="shared" si="0"/>
        <v>4.37</v>
      </c>
      <c r="F27" s="52">
        <f t="shared" si="1"/>
        <v>1.24</v>
      </c>
      <c r="G27" s="47">
        <f t="shared" si="2"/>
        <v>403.2258064516129</v>
      </c>
      <c r="H27" s="47">
        <v>500</v>
      </c>
      <c r="I27" s="47">
        <f t="shared" si="3"/>
        <v>500</v>
      </c>
      <c r="J27" s="48" t="str">
        <f t="shared" si="4"/>
        <v>Cumparare directa</v>
      </c>
      <c r="K27" s="49">
        <v>41275</v>
      </c>
      <c r="L27" s="49">
        <v>41639</v>
      </c>
      <c r="M27" s="48" t="s">
        <v>19</v>
      </c>
    </row>
    <row r="28" spans="1:13" ht="24">
      <c r="A28" s="48">
        <v>13</v>
      </c>
      <c r="B28" s="50" t="s">
        <v>468</v>
      </c>
      <c r="C28" s="43" t="s">
        <v>40</v>
      </c>
      <c r="D28" s="47">
        <v>11072.56</v>
      </c>
      <c r="E28" s="52">
        <f t="shared" si="0"/>
        <v>4.370000864677504</v>
      </c>
      <c r="F28" s="52">
        <f t="shared" si="1"/>
        <v>1.24</v>
      </c>
      <c r="G28" s="47">
        <f t="shared" si="2"/>
        <v>48387.096774193546</v>
      </c>
      <c r="H28" s="47">
        <v>60000</v>
      </c>
      <c r="I28" s="47">
        <f t="shared" si="3"/>
        <v>60000</v>
      </c>
      <c r="J28" s="48" t="str">
        <f t="shared" si="4"/>
        <v>Cumparare directa</v>
      </c>
      <c r="K28" s="49">
        <v>41275</v>
      </c>
      <c r="L28" s="49">
        <v>41639</v>
      </c>
      <c r="M28" s="48" t="s">
        <v>19</v>
      </c>
    </row>
    <row r="29" spans="1:13" ht="24">
      <c r="A29" s="48">
        <v>14</v>
      </c>
      <c r="B29" s="46" t="s">
        <v>41</v>
      </c>
      <c r="C29" s="43" t="s">
        <v>42</v>
      </c>
      <c r="D29" s="47">
        <f t="shared" si="5"/>
        <v>3690.854063630324</v>
      </c>
      <c r="E29" s="52">
        <f t="shared" si="0"/>
        <v>4.37</v>
      </c>
      <c r="F29" s="52">
        <f t="shared" si="1"/>
        <v>1.24</v>
      </c>
      <c r="G29" s="47">
        <f t="shared" si="2"/>
        <v>16129.032258064517</v>
      </c>
      <c r="H29" s="47">
        <v>20000</v>
      </c>
      <c r="I29" s="47">
        <f t="shared" si="3"/>
        <v>20000</v>
      </c>
      <c r="J29" s="48" t="str">
        <f t="shared" si="4"/>
        <v>Cumparare directa</v>
      </c>
      <c r="K29" s="49">
        <v>41275</v>
      </c>
      <c r="L29" s="49">
        <v>41639</v>
      </c>
      <c r="M29" s="48" t="s">
        <v>19</v>
      </c>
    </row>
    <row r="30" spans="1:13" ht="24">
      <c r="A30" s="48">
        <v>15</v>
      </c>
      <c r="B30" s="50" t="s">
        <v>43</v>
      </c>
      <c r="C30" s="43" t="s">
        <v>44</v>
      </c>
      <c r="D30" s="47">
        <f t="shared" si="5"/>
        <v>184.5427031815162</v>
      </c>
      <c r="E30" s="52">
        <f t="shared" si="0"/>
        <v>4.37</v>
      </c>
      <c r="F30" s="52">
        <f t="shared" si="1"/>
        <v>1.24</v>
      </c>
      <c r="G30" s="47">
        <f>H30/$B$9</f>
        <v>806.4516129032259</v>
      </c>
      <c r="H30" s="47">
        <v>1000</v>
      </c>
      <c r="I30" s="47">
        <f t="shared" si="3"/>
        <v>1000</v>
      </c>
      <c r="J30" s="48" t="str">
        <f>IF(D30&lt;=15000,"Cumparare directa",IF(D30&lt;=130000,"Cerere de Oferte","Licitatie deschisa"))</f>
        <v>Cumparare directa</v>
      </c>
      <c r="K30" s="49">
        <v>41275</v>
      </c>
      <c r="L30" s="49">
        <v>41639</v>
      </c>
      <c r="M30" s="48" t="s">
        <v>19</v>
      </c>
    </row>
    <row r="31" spans="1:13" ht="24">
      <c r="A31" s="48">
        <v>16</v>
      </c>
      <c r="B31" s="50" t="s">
        <v>45</v>
      </c>
      <c r="C31" s="43" t="s">
        <v>46</v>
      </c>
      <c r="D31" s="47">
        <f t="shared" si="5"/>
        <v>276.8140547722743</v>
      </c>
      <c r="E31" s="52">
        <f t="shared" si="0"/>
        <v>4.37</v>
      </c>
      <c r="F31" s="52">
        <f t="shared" si="1"/>
        <v>1.24</v>
      </c>
      <c r="G31" s="47">
        <f t="shared" si="2"/>
        <v>1209.6774193548388</v>
      </c>
      <c r="H31" s="47">
        <v>1500</v>
      </c>
      <c r="I31" s="47">
        <f t="shared" si="3"/>
        <v>1500</v>
      </c>
      <c r="J31" s="48" t="str">
        <f t="shared" si="4"/>
        <v>Cumparare directa</v>
      </c>
      <c r="K31" s="49">
        <v>41275</v>
      </c>
      <c r="L31" s="49">
        <v>41639</v>
      </c>
      <c r="M31" s="48" t="s">
        <v>19</v>
      </c>
    </row>
    <row r="32" spans="1:13" ht="24">
      <c r="A32" s="48">
        <v>17</v>
      </c>
      <c r="B32" s="46" t="s">
        <v>47</v>
      </c>
      <c r="C32" s="43" t="s">
        <v>48</v>
      </c>
      <c r="D32" s="47">
        <f t="shared" si="5"/>
        <v>184.5427031815162</v>
      </c>
      <c r="E32" s="52">
        <f t="shared" si="0"/>
        <v>4.37</v>
      </c>
      <c r="F32" s="52">
        <f t="shared" si="1"/>
        <v>1.24</v>
      </c>
      <c r="G32" s="47">
        <f t="shared" si="2"/>
        <v>806.4516129032259</v>
      </c>
      <c r="H32" s="47">
        <v>1000</v>
      </c>
      <c r="I32" s="47">
        <f t="shared" si="3"/>
        <v>1000</v>
      </c>
      <c r="J32" s="48" t="str">
        <f t="shared" si="4"/>
        <v>Cumparare directa</v>
      </c>
      <c r="K32" s="49">
        <v>41275</v>
      </c>
      <c r="L32" s="49">
        <v>41639</v>
      </c>
      <c r="M32" s="48" t="s">
        <v>19</v>
      </c>
    </row>
    <row r="33" spans="1:13" ht="24">
      <c r="A33" s="48">
        <v>18</v>
      </c>
      <c r="B33" s="50" t="s">
        <v>456</v>
      </c>
      <c r="C33" s="43" t="s">
        <v>49</v>
      </c>
      <c r="D33" s="47">
        <f t="shared" si="5"/>
        <v>590.5366501808518</v>
      </c>
      <c r="E33" s="52">
        <f t="shared" si="0"/>
        <v>4.37</v>
      </c>
      <c r="F33" s="52">
        <f t="shared" si="1"/>
        <v>1.24</v>
      </c>
      <c r="G33" s="47">
        <f t="shared" si="2"/>
        <v>2580.6451612903224</v>
      </c>
      <c r="H33" s="47">
        <v>3200</v>
      </c>
      <c r="I33" s="47">
        <f t="shared" si="3"/>
        <v>3200</v>
      </c>
      <c r="J33" s="48" t="str">
        <f t="shared" si="4"/>
        <v>Cumparare directa</v>
      </c>
      <c r="K33" s="49">
        <v>41275</v>
      </c>
      <c r="L33" s="49">
        <v>41639</v>
      </c>
      <c r="M33" s="48" t="s">
        <v>19</v>
      </c>
    </row>
    <row r="34" spans="1:13" ht="24">
      <c r="A34" s="48">
        <v>19</v>
      </c>
      <c r="B34" s="50" t="s">
        <v>50</v>
      </c>
      <c r="C34" s="43" t="s">
        <v>51</v>
      </c>
      <c r="D34" s="47">
        <f t="shared" si="5"/>
        <v>184.5427031815162</v>
      </c>
      <c r="E34" s="52">
        <f t="shared" si="0"/>
        <v>4.37</v>
      </c>
      <c r="F34" s="52">
        <f t="shared" si="1"/>
        <v>1.24</v>
      </c>
      <c r="G34" s="47">
        <f t="shared" si="2"/>
        <v>806.4516129032259</v>
      </c>
      <c r="H34" s="47">
        <v>1000</v>
      </c>
      <c r="I34" s="47">
        <f t="shared" si="3"/>
        <v>1000</v>
      </c>
      <c r="J34" s="48" t="str">
        <f t="shared" si="4"/>
        <v>Cumparare directa</v>
      </c>
      <c r="K34" s="49">
        <v>41275</v>
      </c>
      <c r="L34" s="49">
        <v>41639</v>
      </c>
      <c r="M34" s="48" t="s">
        <v>19</v>
      </c>
    </row>
    <row r="35" spans="1:13" ht="24">
      <c r="A35" s="48">
        <v>20</v>
      </c>
      <c r="B35" s="50" t="s">
        <v>52</v>
      </c>
      <c r="C35" s="43" t="s">
        <v>53</v>
      </c>
      <c r="D35" s="47">
        <f t="shared" si="5"/>
        <v>92.2713515907581</v>
      </c>
      <c r="E35" s="52">
        <f t="shared" si="0"/>
        <v>4.37</v>
      </c>
      <c r="F35" s="52">
        <f t="shared" si="1"/>
        <v>1.24</v>
      </c>
      <c r="G35" s="47">
        <f t="shared" si="2"/>
        <v>403.2258064516129</v>
      </c>
      <c r="H35" s="47">
        <v>500</v>
      </c>
      <c r="I35" s="47">
        <f t="shared" si="3"/>
        <v>500</v>
      </c>
      <c r="J35" s="48" t="str">
        <f>IF(D35&lt;=15000,"Cumparare directa",IF(D35&lt;=130000,"Cerere de Oferte","Licitatie deschisa"))</f>
        <v>Cumparare directa</v>
      </c>
      <c r="K35" s="49">
        <v>41275</v>
      </c>
      <c r="L35" s="49">
        <v>41639</v>
      </c>
      <c r="M35" s="48" t="s">
        <v>19</v>
      </c>
    </row>
    <row r="36" spans="1:13" ht="24">
      <c r="A36" s="48">
        <v>21</v>
      </c>
      <c r="B36" s="50" t="s">
        <v>54</v>
      </c>
      <c r="C36" s="43" t="s">
        <v>55</v>
      </c>
      <c r="D36" s="47">
        <f t="shared" si="5"/>
        <v>92.2713515907581</v>
      </c>
      <c r="E36" s="52">
        <f t="shared" si="0"/>
        <v>4.37</v>
      </c>
      <c r="F36" s="52">
        <f t="shared" si="1"/>
        <v>1.24</v>
      </c>
      <c r="G36" s="47">
        <f t="shared" si="2"/>
        <v>403.2258064516129</v>
      </c>
      <c r="H36" s="47">
        <v>500</v>
      </c>
      <c r="I36" s="47">
        <f t="shared" si="3"/>
        <v>500</v>
      </c>
      <c r="J36" s="48" t="str">
        <f t="shared" si="4"/>
        <v>Cumparare directa</v>
      </c>
      <c r="K36" s="49">
        <v>41275</v>
      </c>
      <c r="L36" s="49">
        <v>41639</v>
      </c>
      <c r="M36" s="48" t="s">
        <v>19</v>
      </c>
    </row>
    <row r="37" spans="1:13" ht="24">
      <c r="A37" s="48">
        <v>22</v>
      </c>
      <c r="B37" s="50" t="s">
        <v>56</v>
      </c>
      <c r="C37" s="43" t="s">
        <v>57</v>
      </c>
      <c r="D37" s="47">
        <f t="shared" si="5"/>
        <v>92.2713515907581</v>
      </c>
      <c r="E37" s="52">
        <f t="shared" si="0"/>
        <v>4.37</v>
      </c>
      <c r="F37" s="52">
        <f t="shared" si="1"/>
        <v>1.24</v>
      </c>
      <c r="G37" s="47">
        <f>H37/$B$9</f>
        <v>403.2258064516129</v>
      </c>
      <c r="H37" s="47">
        <v>500</v>
      </c>
      <c r="I37" s="47">
        <f t="shared" si="3"/>
        <v>500</v>
      </c>
      <c r="J37" s="48" t="str">
        <f t="shared" si="4"/>
        <v>Cumparare directa</v>
      </c>
      <c r="K37" s="49">
        <v>41275</v>
      </c>
      <c r="L37" s="49">
        <v>41639</v>
      </c>
      <c r="M37" s="48" t="s">
        <v>19</v>
      </c>
    </row>
    <row r="38" spans="1:13" ht="24">
      <c r="A38" s="48">
        <v>23</v>
      </c>
      <c r="B38" s="50" t="s">
        <v>58</v>
      </c>
      <c r="C38" s="43" t="s">
        <v>59</v>
      </c>
      <c r="D38" s="47">
        <f t="shared" si="5"/>
        <v>92.2713515907581</v>
      </c>
      <c r="E38" s="52">
        <f t="shared" si="0"/>
        <v>4.37</v>
      </c>
      <c r="F38" s="52">
        <f t="shared" si="1"/>
        <v>1.24</v>
      </c>
      <c r="G38" s="47">
        <f t="shared" si="2"/>
        <v>403.2258064516129</v>
      </c>
      <c r="H38" s="47">
        <v>500</v>
      </c>
      <c r="I38" s="47">
        <f t="shared" si="3"/>
        <v>500</v>
      </c>
      <c r="J38" s="48" t="str">
        <f t="shared" si="4"/>
        <v>Cumparare directa</v>
      </c>
      <c r="K38" s="49">
        <v>41275</v>
      </c>
      <c r="L38" s="49">
        <v>41639</v>
      </c>
      <c r="M38" s="48" t="s">
        <v>19</v>
      </c>
    </row>
    <row r="39" spans="1:13" ht="24">
      <c r="A39" s="48">
        <v>24</v>
      </c>
      <c r="B39" s="50" t="s">
        <v>60</v>
      </c>
      <c r="C39" s="43" t="s">
        <v>61</v>
      </c>
      <c r="D39" s="47">
        <f t="shared" si="5"/>
        <v>184.5427031815162</v>
      </c>
      <c r="E39" s="52">
        <f t="shared" si="0"/>
        <v>4.37</v>
      </c>
      <c r="F39" s="52">
        <f t="shared" si="1"/>
        <v>1.24</v>
      </c>
      <c r="G39" s="47">
        <f t="shared" si="2"/>
        <v>806.4516129032259</v>
      </c>
      <c r="H39" s="47">
        <v>1000</v>
      </c>
      <c r="I39" s="47">
        <f t="shared" si="3"/>
        <v>1000</v>
      </c>
      <c r="J39" s="48" t="str">
        <f t="shared" si="4"/>
        <v>Cumparare directa</v>
      </c>
      <c r="K39" s="49">
        <v>41275</v>
      </c>
      <c r="L39" s="49">
        <v>41639</v>
      </c>
      <c r="M39" s="48" t="s">
        <v>19</v>
      </c>
    </row>
    <row r="40" spans="1:13" ht="24">
      <c r="A40" s="48">
        <v>25</v>
      </c>
      <c r="B40" s="50" t="s">
        <v>460</v>
      </c>
      <c r="C40" s="43" t="s">
        <v>62</v>
      </c>
      <c r="D40" s="47">
        <f t="shared" si="5"/>
        <v>1291.7989222706133</v>
      </c>
      <c r="E40" s="52">
        <f t="shared" si="0"/>
        <v>4.37</v>
      </c>
      <c r="F40" s="52">
        <f t="shared" si="1"/>
        <v>1.24</v>
      </c>
      <c r="G40" s="47">
        <f t="shared" si="2"/>
        <v>5645.1612903225805</v>
      </c>
      <c r="H40" s="47">
        <v>7000</v>
      </c>
      <c r="I40" s="47">
        <f t="shared" si="3"/>
        <v>7000</v>
      </c>
      <c r="J40" s="48" t="str">
        <f t="shared" si="4"/>
        <v>Cumparare directa</v>
      </c>
      <c r="K40" s="49">
        <v>41275</v>
      </c>
      <c r="L40" s="49">
        <v>41639</v>
      </c>
      <c r="M40" s="48" t="s">
        <v>19</v>
      </c>
    </row>
    <row r="41" spans="1:13" ht="36">
      <c r="A41" s="48">
        <v>26</v>
      </c>
      <c r="B41" s="50" t="s">
        <v>63</v>
      </c>
      <c r="C41" s="43" t="s">
        <v>64</v>
      </c>
      <c r="D41" s="47">
        <f t="shared" si="5"/>
        <v>1348.2689894441573</v>
      </c>
      <c r="E41" s="52">
        <f t="shared" si="0"/>
        <v>4.37</v>
      </c>
      <c r="F41" s="52">
        <f t="shared" si="1"/>
        <v>1.24</v>
      </c>
      <c r="G41" s="47">
        <f t="shared" si="2"/>
        <v>5891.935483870968</v>
      </c>
      <c r="H41" s="47">
        <v>7306</v>
      </c>
      <c r="I41" s="47">
        <f t="shared" si="3"/>
        <v>7306</v>
      </c>
      <c r="J41" s="48" t="str">
        <f>IF(D41&lt;=15000,"Cumparare directa",IF(D41&lt;=130000,"Cerere de Oferte","Licitatie deschisa"))</f>
        <v>Cumparare directa</v>
      </c>
      <c r="K41" s="49">
        <v>41275</v>
      </c>
      <c r="L41" s="49">
        <v>41639</v>
      </c>
      <c r="M41" s="48" t="s">
        <v>19</v>
      </c>
    </row>
    <row r="42" spans="1:13" ht="36">
      <c r="A42" s="48">
        <v>27</v>
      </c>
      <c r="B42" s="43" t="s">
        <v>65</v>
      </c>
      <c r="C42" s="43" t="s">
        <v>66</v>
      </c>
      <c r="D42" s="47">
        <f>G42/$B$8</f>
        <v>4116.409537166901</v>
      </c>
      <c r="E42" s="52">
        <f t="shared" si="0"/>
        <v>4.37</v>
      </c>
      <c r="F42" s="52">
        <f t="shared" si="1"/>
        <v>1.24</v>
      </c>
      <c r="G42" s="47">
        <f t="shared" si="2"/>
        <v>17988.709677419356</v>
      </c>
      <c r="H42" s="47">
        <v>22306</v>
      </c>
      <c r="I42" s="47">
        <f t="shared" si="3"/>
        <v>22306</v>
      </c>
      <c r="J42" s="48" t="str">
        <f t="shared" si="4"/>
        <v>Cumparare directa</v>
      </c>
      <c r="K42" s="49">
        <v>41275</v>
      </c>
      <c r="L42" s="49">
        <v>41639</v>
      </c>
      <c r="M42" s="48" t="s">
        <v>19</v>
      </c>
    </row>
    <row r="43" spans="1:13" ht="36">
      <c r="A43" s="48">
        <v>28</v>
      </c>
      <c r="B43" s="43" t="s">
        <v>67</v>
      </c>
      <c r="C43" s="43" t="s">
        <v>66</v>
      </c>
      <c r="D43" s="47">
        <f aca="true" t="shared" si="6" ref="D43:D51">G43/$B$8</f>
        <v>922.713515907581</v>
      </c>
      <c r="E43" s="52">
        <f>G43/D43</f>
        <v>4.37</v>
      </c>
      <c r="F43" s="52">
        <f>H43/G43</f>
        <v>1.24</v>
      </c>
      <c r="G43" s="47">
        <f>H43/$B$9</f>
        <v>4032.2580645161293</v>
      </c>
      <c r="H43" s="47">
        <v>5000</v>
      </c>
      <c r="I43" s="47">
        <f t="shared" si="3"/>
        <v>5000</v>
      </c>
      <c r="J43" s="48" t="str">
        <f t="shared" si="4"/>
        <v>Cumparare directa</v>
      </c>
      <c r="K43" s="49">
        <v>41275</v>
      </c>
      <c r="L43" s="49">
        <v>41639</v>
      </c>
      <c r="M43" s="48" t="s">
        <v>19</v>
      </c>
    </row>
    <row r="44" spans="1:13" ht="24">
      <c r="A44" s="48">
        <v>29</v>
      </c>
      <c r="B44" s="50" t="s">
        <v>68</v>
      </c>
      <c r="C44" s="43" t="s">
        <v>69</v>
      </c>
      <c r="D44" s="47">
        <f t="shared" si="6"/>
        <v>369.0854063630324</v>
      </c>
      <c r="E44" s="52">
        <f t="shared" si="0"/>
        <v>4.37</v>
      </c>
      <c r="F44" s="52">
        <f t="shared" si="1"/>
        <v>1.24</v>
      </c>
      <c r="G44" s="47">
        <f t="shared" si="2"/>
        <v>1612.9032258064517</v>
      </c>
      <c r="H44" s="47">
        <v>2000</v>
      </c>
      <c r="I44" s="47">
        <f t="shared" si="3"/>
        <v>2000</v>
      </c>
      <c r="J44" s="48" t="str">
        <f t="shared" si="4"/>
        <v>Cumparare directa</v>
      </c>
      <c r="K44" s="49">
        <v>41275</v>
      </c>
      <c r="L44" s="49">
        <v>41639</v>
      </c>
      <c r="M44" s="48" t="s">
        <v>19</v>
      </c>
    </row>
    <row r="45" spans="1:13" ht="24">
      <c r="A45" s="48">
        <v>30</v>
      </c>
      <c r="B45" s="46" t="s">
        <v>457</v>
      </c>
      <c r="C45" s="43" t="s">
        <v>70</v>
      </c>
      <c r="D45" s="47">
        <f t="shared" si="6"/>
        <v>1845.427031815162</v>
      </c>
      <c r="E45" s="52">
        <f t="shared" si="0"/>
        <v>4.37</v>
      </c>
      <c r="F45" s="52">
        <f t="shared" si="1"/>
        <v>1.24</v>
      </c>
      <c r="G45" s="47">
        <f t="shared" si="2"/>
        <v>8064.5161290322585</v>
      </c>
      <c r="H45" s="47">
        <v>10000</v>
      </c>
      <c r="I45" s="47">
        <f t="shared" si="3"/>
        <v>10000</v>
      </c>
      <c r="J45" s="48" t="str">
        <f t="shared" si="4"/>
        <v>Cumparare directa</v>
      </c>
      <c r="K45" s="49">
        <v>41275</v>
      </c>
      <c r="L45" s="49">
        <v>41639</v>
      </c>
      <c r="M45" s="48" t="s">
        <v>19</v>
      </c>
    </row>
    <row r="46" spans="1:13" ht="24">
      <c r="A46" s="48">
        <v>31</v>
      </c>
      <c r="B46" s="50" t="s">
        <v>71</v>
      </c>
      <c r="C46" s="43" t="s">
        <v>72</v>
      </c>
      <c r="D46" s="47">
        <f t="shared" si="6"/>
        <v>129.17989222706134</v>
      </c>
      <c r="E46" s="52">
        <f t="shared" si="0"/>
        <v>4.37</v>
      </c>
      <c r="F46" s="52">
        <f t="shared" si="1"/>
        <v>1.24</v>
      </c>
      <c r="G46" s="47">
        <f t="shared" si="2"/>
        <v>564.516129032258</v>
      </c>
      <c r="H46" s="47">
        <v>700</v>
      </c>
      <c r="I46" s="47">
        <f t="shared" si="3"/>
        <v>700</v>
      </c>
      <c r="J46" s="48" t="str">
        <f t="shared" si="4"/>
        <v>Cumparare directa</v>
      </c>
      <c r="K46" s="49">
        <v>41275</v>
      </c>
      <c r="L46" s="49">
        <v>41639</v>
      </c>
      <c r="M46" s="48" t="s">
        <v>19</v>
      </c>
    </row>
    <row r="47" spans="1:13" ht="24">
      <c r="A47" s="48">
        <v>32</v>
      </c>
      <c r="B47" s="50" t="s">
        <v>73</v>
      </c>
      <c r="C47" s="43" t="s">
        <v>74</v>
      </c>
      <c r="D47" s="47">
        <f t="shared" si="6"/>
        <v>184.5427031815162</v>
      </c>
      <c r="E47" s="52">
        <f t="shared" si="0"/>
        <v>4.37</v>
      </c>
      <c r="F47" s="52">
        <f t="shared" si="1"/>
        <v>1.24</v>
      </c>
      <c r="G47" s="47">
        <f t="shared" si="2"/>
        <v>806.4516129032259</v>
      </c>
      <c r="H47" s="47">
        <v>1000</v>
      </c>
      <c r="I47" s="47">
        <f t="shared" si="3"/>
        <v>1000</v>
      </c>
      <c r="J47" s="48" t="str">
        <f t="shared" si="4"/>
        <v>Cumparare directa</v>
      </c>
      <c r="K47" s="49">
        <v>41275</v>
      </c>
      <c r="L47" s="49">
        <v>41639</v>
      </c>
      <c r="M47" s="48" t="s">
        <v>19</v>
      </c>
    </row>
    <row r="48" spans="1:13" ht="24">
      <c r="A48" s="48">
        <v>33</v>
      </c>
      <c r="B48" s="51" t="s">
        <v>75</v>
      </c>
      <c r="C48" s="51" t="s">
        <v>76</v>
      </c>
      <c r="D48" s="47">
        <f t="shared" si="6"/>
        <v>92.2713515907581</v>
      </c>
      <c r="E48" s="52">
        <f t="shared" si="0"/>
        <v>4.37</v>
      </c>
      <c r="F48" s="52">
        <f t="shared" si="1"/>
        <v>1.24</v>
      </c>
      <c r="G48" s="47">
        <f t="shared" si="2"/>
        <v>403.2258064516129</v>
      </c>
      <c r="H48" s="47">
        <v>500</v>
      </c>
      <c r="I48" s="47">
        <f t="shared" si="3"/>
        <v>500</v>
      </c>
      <c r="J48" s="48" t="str">
        <f>IF(D48&lt;=15000,"Cumparare directa",IF(D48&lt;=130000,"Cerere de Oferte","Licitatie deschisa"))</f>
        <v>Cumparare directa</v>
      </c>
      <c r="K48" s="49">
        <v>41275</v>
      </c>
      <c r="L48" s="49">
        <v>41639</v>
      </c>
      <c r="M48" s="48" t="s">
        <v>19</v>
      </c>
    </row>
    <row r="49" spans="1:13" ht="24">
      <c r="A49" s="48">
        <v>34</v>
      </c>
      <c r="B49" s="50" t="s">
        <v>77</v>
      </c>
      <c r="C49" s="43" t="s">
        <v>78</v>
      </c>
      <c r="D49" s="47">
        <f t="shared" si="6"/>
        <v>92.2713515907581</v>
      </c>
      <c r="E49" s="52">
        <f t="shared" si="0"/>
        <v>4.37</v>
      </c>
      <c r="F49" s="52">
        <f t="shared" si="1"/>
        <v>1.24</v>
      </c>
      <c r="G49" s="47">
        <f t="shared" si="2"/>
        <v>403.2258064516129</v>
      </c>
      <c r="H49" s="47">
        <v>500</v>
      </c>
      <c r="I49" s="47">
        <f t="shared" si="3"/>
        <v>500</v>
      </c>
      <c r="J49" s="48" t="str">
        <f t="shared" si="4"/>
        <v>Cumparare directa</v>
      </c>
      <c r="K49" s="49">
        <v>41275</v>
      </c>
      <c r="L49" s="49">
        <v>41639</v>
      </c>
      <c r="M49" s="48" t="s">
        <v>19</v>
      </c>
    </row>
    <row r="50" spans="1:13" ht="36">
      <c r="A50" s="48">
        <v>35</v>
      </c>
      <c r="B50" s="50" t="s">
        <v>79</v>
      </c>
      <c r="C50" s="43" t="s">
        <v>80</v>
      </c>
      <c r="D50" s="47">
        <f t="shared" si="6"/>
        <v>250.97807632686204</v>
      </c>
      <c r="E50" s="52">
        <f t="shared" si="0"/>
        <v>4.37</v>
      </c>
      <c r="F50" s="52">
        <f t="shared" si="1"/>
        <v>1.24</v>
      </c>
      <c r="G50" s="47">
        <f t="shared" si="2"/>
        <v>1096.774193548387</v>
      </c>
      <c r="H50" s="47">
        <v>1360</v>
      </c>
      <c r="I50" s="47">
        <f t="shared" si="3"/>
        <v>1360</v>
      </c>
      <c r="J50" s="48" t="str">
        <f t="shared" si="4"/>
        <v>Cumparare directa</v>
      </c>
      <c r="K50" s="49">
        <v>41275</v>
      </c>
      <c r="L50" s="49">
        <v>41639</v>
      </c>
      <c r="M50" s="48" t="s">
        <v>19</v>
      </c>
    </row>
    <row r="51" spans="1:13" ht="24">
      <c r="A51" s="48">
        <v>36</v>
      </c>
      <c r="B51" s="50" t="s">
        <v>81</v>
      </c>
      <c r="C51" s="43" t="s">
        <v>82</v>
      </c>
      <c r="D51" s="47">
        <f t="shared" si="6"/>
        <v>36.908540636303236</v>
      </c>
      <c r="E51" s="52">
        <f t="shared" si="0"/>
        <v>4.37</v>
      </c>
      <c r="F51" s="52">
        <f t="shared" si="1"/>
        <v>1.24</v>
      </c>
      <c r="G51" s="47">
        <f t="shared" si="2"/>
        <v>161.29032258064515</v>
      </c>
      <c r="H51" s="47">
        <v>200</v>
      </c>
      <c r="I51" s="47">
        <f t="shared" si="3"/>
        <v>200</v>
      </c>
      <c r="J51" s="48" t="str">
        <f t="shared" si="4"/>
        <v>Cumparare directa</v>
      </c>
      <c r="K51" s="49">
        <v>41275</v>
      </c>
      <c r="L51" s="49">
        <v>41639</v>
      </c>
      <c r="M51" s="48" t="s">
        <v>19</v>
      </c>
    </row>
    <row r="52" spans="1:13" ht="24">
      <c r="A52" s="48">
        <v>37</v>
      </c>
      <c r="B52" s="46" t="s">
        <v>83</v>
      </c>
      <c r="C52" s="43" t="s">
        <v>84</v>
      </c>
      <c r="D52" s="47">
        <f>G52/$B$8</f>
        <v>92.2713515907581</v>
      </c>
      <c r="E52" s="52">
        <f t="shared" si="0"/>
        <v>4.37</v>
      </c>
      <c r="F52" s="52">
        <f t="shared" si="1"/>
        <v>1.24</v>
      </c>
      <c r="G52" s="47">
        <f t="shared" si="2"/>
        <v>403.2258064516129</v>
      </c>
      <c r="H52" s="47">
        <v>500</v>
      </c>
      <c r="I52" s="47">
        <f t="shared" si="3"/>
        <v>500</v>
      </c>
      <c r="J52" s="48" t="str">
        <f t="shared" si="4"/>
        <v>Cumparare directa</v>
      </c>
      <c r="K52" s="49">
        <v>41275</v>
      </c>
      <c r="L52" s="49">
        <v>41639</v>
      </c>
      <c r="M52" s="48" t="s">
        <v>19</v>
      </c>
    </row>
    <row r="53" spans="1:13" ht="24">
      <c r="A53" s="48">
        <v>38</v>
      </c>
      <c r="B53" s="46" t="s">
        <v>85</v>
      </c>
      <c r="C53" s="43" t="s">
        <v>86</v>
      </c>
      <c r="D53" s="47">
        <f>G53/$B$8</f>
        <v>36.908540636303236</v>
      </c>
      <c r="E53" s="52">
        <f>G53/D53</f>
        <v>4.37</v>
      </c>
      <c r="F53" s="52">
        <f>H53/G53</f>
        <v>1.24</v>
      </c>
      <c r="G53" s="47">
        <f t="shared" si="2"/>
        <v>161.29032258064515</v>
      </c>
      <c r="H53" s="47">
        <v>200</v>
      </c>
      <c r="I53" s="47">
        <f t="shared" si="3"/>
        <v>200</v>
      </c>
      <c r="J53" s="48" t="str">
        <f t="shared" si="4"/>
        <v>Cumparare directa</v>
      </c>
      <c r="K53" s="49">
        <v>41275</v>
      </c>
      <c r="L53" s="49">
        <v>41639</v>
      </c>
      <c r="M53" s="48" t="s">
        <v>19</v>
      </c>
    </row>
    <row r="54" spans="1:14" ht="24">
      <c r="A54" s="48">
        <v>39</v>
      </c>
      <c r="B54" s="46" t="s">
        <v>87</v>
      </c>
      <c r="C54" s="43" t="s">
        <v>31</v>
      </c>
      <c r="D54" s="47">
        <f>G54/$B$8</f>
        <v>36.908540636303236</v>
      </c>
      <c r="E54" s="52">
        <f>G54/D54</f>
        <v>4.37</v>
      </c>
      <c r="F54" s="52">
        <f>H54/G54</f>
        <v>1.24</v>
      </c>
      <c r="G54" s="47">
        <f t="shared" si="2"/>
        <v>161.29032258064515</v>
      </c>
      <c r="H54" s="47">
        <v>200</v>
      </c>
      <c r="I54" s="47">
        <f t="shared" si="3"/>
        <v>200</v>
      </c>
      <c r="J54" s="48" t="str">
        <f>IF(D54&lt;=15000,"Cumparare directa",IF(D54&lt;=130000,"Cerere de Oferte","Licitatie deschisa"))</f>
        <v>Cumparare directa</v>
      </c>
      <c r="K54" s="49">
        <v>41275</v>
      </c>
      <c r="L54" s="49">
        <v>41639</v>
      </c>
      <c r="M54" s="48" t="s">
        <v>19</v>
      </c>
      <c r="N54" s="110"/>
    </row>
    <row r="55" spans="1:13" ht="12">
      <c r="A55" s="48"/>
      <c r="B55" s="53" t="s">
        <v>88</v>
      </c>
      <c r="C55" s="43"/>
      <c r="D55" s="109">
        <f>SUM(D56:D56)</f>
        <v>7935.336236805197</v>
      </c>
      <c r="E55" s="52">
        <f t="shared" si="0"/>
        <v>4.37</v>
      </c>
      <c r="F55" s="52">
        <f t="shared" si="1"/>
        <v>1.24</v>
      </c>
      <c r="G55" s="109">
        <f>SUM(G56:G56)</f>
        <v>34677.41935483871</v>
      </c>
      <c r="H55" s="109">
        <f>SUM(H56:H56)</f>
        <v>43000</v>
      </c>
      <c r="I55" s="109">
        <f t="shared" si="3"/>
        <v>43000</v>
      </c>
      <c r="J55" s="34"/>
      <c r="K55" s="54"/>
      <c r="L55" s="54"/>
      <c r="M55" s="54"/>
    </row>
    <row r="56" spans="1:13" ht="24">
      <c r="A56" s="48">
        <v>40</v>
      </c>
      <c r="B56" s="43" t="s">
        <v>89</v>
      </c>
      <c r="C56" s="43" t="s">
        <v>90</v>
      </c>
      <c r="D56" s="47">
        <f>G56/$B$8</f>
        <v>7935.336236805197</v>
      </c>
      <c r="E56" s="52">
        <f t="shared" si="0"/>
        <v>4.37</v>
      </c>
      <c r="F56" s="52">
        <f t="shared" si="1"/>
        <v>1.24</v>
      </c>
      <c r="G56" s="47">
        <f>H56/$B$9</f>
        <v>34677.41935483871</v>
      </c>
      <c r="H56" s="47">
        <v>43000</v>
      </c>
      <c r="I56" s="47">
        <f t="shared" si="3"/>
        <v>43000</v>
      </c>
      <c r="J56" s="48" t="str">
        <f>IF(D56&lt;=15000,"Cumparare directa",IF(D56&lt;=130000,"Cerere de Oferte","Licitatie deschisa"))</f>
        <v>Cumparare directa</v>
      </c>
      <c r="K56" s="49">
        <v>41275</v>
      </c>
      <c r="L56" s="49">
        <v>41639</v>
      </c>
      <c r="M56" s="48" t="s">
        <v>19</v>
      </c>
    </row>
    <row r="57" spans="1:13" ht="24">
      <c r="A57" s="48"/>
      <c r="B57" s="53" t="s">
        <v>91</v>
      </c>
      <c r="C57" s="43"/>
      <c r="D57" s="113">
        <f>SUM(D58:D60)</f>
        <v>224773.01247508675</v>
      </c>
      <c r="E57" s="52">
        <f t="shared" si="0"/>
        <v>4.37</v>
      </c>
      <c r="F57" s="52">
        <f t="shared" si="1"/>
        <v>1.24</v>
      </c>
      <c r="G57" s="113">
        <f>SUM(G58:G60)</f>
        <v>982258.0645161291</v>
      </c>
      <c r="H57" s="113">
        <f>SUM(H58:H60)</f>
        <v>1218000</v>
      </c>
      <c r="I57" s="113">
        <f t="shared" si="3"/>
        <v>1218000</v>
      </c>
      <c r="J57" s="48"/>
      <c r="K57" s="49"/>
      <c r="L57" s="49"/>
      <c r="M57" s="48"/>
    </row>
    <row r="58" spans="1:13" ht="36">
      <c r="A58" s="48">
        <v>41</v>
      </c>
      <c r="B58" s="46" t="s">
        <v>92</v>
      </c>
      <c r="C58" s="43" t="s">
        <v>93</v>
      </c>
      <c r="D58" s="47">
        <f aca="true" t="shared" si="7" ref="D58:D66">G58/$B$8</f>
        <v>138407.02738613717</v>
      </c>
      <c r="E58" s="52">
        <f t="shared" si="0"/>
        <v>4.37</v>
      </c>
      <c r="F58" s="52">
        <f t="shared" si="1"/>
        <v>1.24</v>
      </c>
      <c r="G58" s="47">
        <f>H58/$B$9</f>
        <v>604838.7096774194</v>
      </c>
      <c r="H58" s="55">
        <f>750000</f>
        <v>750000</v>
      </c>
      <c r="I58" s="55">
        <f t="shared" si="3"/>
        <v>750000</v>
      </c>
      <c r="J58" s="48" t="s">
        <v>94</v>
      </c>
      <c r="K58" s="49">
        <v>41275</v>
      </c>
      <c r="L58" s="49">
        <v>41639</v>
      </c>
      <c r="M58" s="48" t="s">
        <v>19</v>
      </c>
    </row>
    <row r="59" spans="1:13" ht="36">
      <c r="A59" s="48">
        <v>42</v>
      </c>
      <c r="B59" s="46" t="s">
        <v>95</v>
      </c>
      <c r="C59" s="43" t="s">
        <v>96</v>
      </c>
      <c r="D59" s="47">
        <f t="shared" si="7"/>
        <v>73817.08127260648</v>
      </c>
      <c r="E59" s="52">
        <f t="shared" si="0"/>
        <v>4.37</v>
      </c>
      <c r="F59" s="52">
        <f t="shared" si="1"/>
        <v>1.24</v>
      </c>
      <c r="G59" s="47">
        <f>H59/$B$9</f>
        <v>322580.6451612903</v>
      </c>
      <c r="H59" s="55">
        <f>400000</f>
        <v>400000</v>
      </c>
      <c r="I59" s="55">
        <f t="shared" si="3"/>
        <v>400000</v>
      </c>
      <c r="J59" s="48" t="s">
        <v>94</v>
      </c>
      <c r="K59" s="49">
        <v>41275</v>
      </c>
      <c r="L59" s="49">
        <v>41639</v>
      </c>
      <c r="M59" s="48" t="s">
        <v>19</v>
      </c>
    </row>
    <row r="60" spans="1:13" ht="36">
      <c r="A60" s="48">
        <v>43</v>
      </c>
      <c r="B60" s="46" t="s">
        <v>97</v>
      </c>
      <c r="C60" s="43" t="s">
        <v>98</v>
      </c>
      <c r="D60" s="47">
        <f t="shared" si="7"/>
        <v>12548.903816343101</v>
      </c>
      <c r="E60" s="52">
        <f t="shared" si="0"/>
        <v>4.37</v>
      </c>
      <c r="F60" s="52">
        <f t="shared" si="1"/>
        <v>1.24</v>
      </c>
      <c r="G60" s="47">
        <f>H60/$B$9</f>
        <v>54838.709677419356</v>
      </c>
      <c r="H60" s="55">
        <f>68000</f>
        <v>68000</v>
      </c>
      <c r="I60" s="55">
        <f t="shared" si="3"/>
        <v>68000</v>
      </c>
      <c r="J60" s="48" t="s">
        <v>94</v>
      </c>
      <c r="K60" s="49">
        <v>41275</v>
      </c>
      <c r="L60" s="49">
        <v>41639</v>
      </c>
      <c r="M60" s="48" t="s">
        <v>19</v>
      </c>
    </row>
    <row r="61" spans="1:13" ht="12">
      <c r="A61" s="48"/>
      <c r="B61" s="53" t="s">
        <v>99</v>
      </c>
      <c r="C61" s="43"/>
      <c r="D61" s="114">
        <f>SUM(D62:D63)</f>
        <v>22329.66708496346</v>
      </c>
      <c r="E61" s="52">
        <f t="shared" si="0"/>
        <v>4.37</v>
      </c>
      <c r="F61" s="52">
        <f t="shared" si="1"/>
        <v>1.24</v>
      </c>
      <c r="G61" s="114">
        <f>SUM(G62:G63)</f>
        <v>97580.64516129032</v>
      </c>
      <c r="H61" s="109">
        <f>SUM(H62:H63)</f>
        <v>121000</v>
      </c>
      <c r="I61" s="109">
        <f t="shared" si="3"/>
        <v>121000</v>
      </c>
      <c r="J61" s="57"/>
      <c r="K61" s="56"/>
      <c r="L61" s="56"/>
      <c r="M61" s="56"/>
    </row>
    <row r="62" spans="1:13" ht="36">
      <c r="A62" s="48">
        <v>44</v>
      </c>
      <c r="B62" s="46" t="s">
        <v>100</v>
      </c>
      <c r="C62" s="43" t="s">
        <v>101</v>
      </c>
      <c r="D62" s="47">
        <f t="shared" si="7"/>
        <v>18454.27031815162</v>
      </c>
      <c r="E62" s="52">
        <f aca="true" t="shared" si="8" ref="E62:E114">G62/D62</f>
        <v>4.37</v>
      </c>
      <c r="F62" s="52">
        <f t="shared" si="1"/>
        <v>1.24</v>
      </c>
      <c r="G62" s="47">
        <f>H62/$B$9</f>
        <v>80645.16129032258</v>
      </c>
      <c r="H62" s="55">
        <f>100000</f>
        <v>100000</v>
      </c>
      <c r="I62" s="55">
        <f t="shared" si="3"/>
        <v>100000</v>
      </c>
      <c r="J62" s="48" t="s">
        <v>102</v>
      </c>
      <c r="K62" s="49">
        <v>41275</v>
      </c>
      <c r="L62" s="49">
        <v>41639</v>
      </c>
      <c r="M62" s="48" t="s">
        <v>19</v>
      </c>
    </row>
    <row r="63" spans="1:13" ht="24">
      <c r="A63" s="48">
        <v>45</v>
      </c>
      <c r="B63" s="46" t="s">
        <v>103</v>
      </c>
      <c r="C63" s="43" t="s">
        <v>104</v>
      </c>
      <c r="D63" s="47">
        <f t="shared" si="7"/>
        <v>3875.3967668118403</v>
      </c>
      <c r="E63" s="52">
        <f t="shared" si="8"/>
        <v>4.37</v>
      </c>
      <c r="F63" s="52">
        <f aca="true" t="shared" si="9" ref="F63:F115">H63/G63</f>
        <v>1.24</v>
      </c>
      <c r="G63" s="47">
        <f>H63/$B$9</f>
        <v>16935.483870967742</v>
      </c>
      <c r="H63" s="55">
        <f>10000+3000+5553.5+2446.5</f>
        <v>21000</v>
      </c>
      <c r="I63" s="55">
        <f aca="true" t="shared" si="10" ref="I63:I115">H63</f>
        <v>21000</v>
      </c>
      <c r="J63" s="48" t="str">
        <f>IF(D63&lt;=15000,"Cumparare directa",IF(D63&lt;=150000,"Cerere de Oferte","Licitatie deschisa"))</f>
        <v>Cumparare directa</v>
      </c>
      <c r="K63" s="49">
        <v>41275</v>
      </c>
      <c r="L63" s="49">
        <v>41639</v>
      </c>
      <c r="M63" s="48" t="s">
        <v>19</v>
      </c>
    </row>
    <row r="64" spans="1:13" ht="12">
      <c r="A64" s="48"/>
      <c r="B64" s="53" t="s">
        <v>105</v>
      </c>
      <c r="C64" s="43"/>
      <c r="D64" s="114">
        <f>SUM(D65:D66)</f>
        <v>198937.03402967448</v>
      </c>
      <c r="E64" s="52">
        <f t="shared" si="8"/>
        <v>4.37</v>
      </c>
      <c r="F64" s="52">
        <f t="shared" si="9"/>
        <v>1.24</v>
      </c>
      <c r="G64" s="114">
        <f>SUM(G65:G66)</f>
        <v>869354.8387096775</v>
      </c>
      <c r="H64" s="109">
        <f>SUM(H65:H66)</f>
        <v>1078000</v>
      </c>
      <c r="I64" s="109">
        <f t="shared" si="10"/>
        <v>1078000</v>
      </c>
      <c r="J64" s="57"/>
      <c r="K64" s="56"/>
      <c r="L64" s="56"/>
      <c r="M64" s="56"/>
    </row>
    <row r="65" spans="1:13" ht="24">
      <c r="A65" s="48">
        <v>46</v>
      </c>
      <c r="B65" s="46" t="s">
        <v>106</v>
      </c>
      <c r="C65" s="43" t="s">
        <v>107</v>
      </c>
      <c r="D65" s="47">
        <f t="shared" si="7"/>
        <v>125119.952757068</v>
      </c>
      <c r="E65" s="52">
        <f t="shared" si="8"/>
        <v>4.37</v>
      </c>
      <c r="F65" s="52">
        <f t="shared" si="9"/>
        <v>1.24</v>
      </c>
      <c r="G65" s="47">
        <f>H65/$B$9</f>
        <v>546774.1935483871</v>
      </c>
      <c r="H65" s="47">
        <v>678000</v>
      </c>
      <c r="I65" s="47">
        <f t="shared" si="10"/>
        <v>678000</v>
      </c>
      <c r="J65" s="48" t="s">
        <v>471</v>
      </c>
      <c r="K65" s="49">
        <v>41275</v>
      </c>
      <c r="L65" s="49">
        <v>41639</v>
      </c>
      <c r="M65" s="48" t="s">
        <v>19</v>
      </c>
    </row>
    <row r="66" spans="1:13" ht="24">
      <c r="A66" s="48">
        <v>47</v>
      </c>
      <c r="B66" s="46" t="s">
        <v>108</v>
      </c>
      <c r="C66" s="43" t="s">
        <v>109</v>
      </c>
      <c r="D66" s="47">
        <f t="shared" si="7"/>
        <v>73817.08127260648</v>
      </c>
      <c r="E66" s="52">
        <f t="shared" si="8"/>
        <v>4.37</v>
      </c>
      <c r="F66" s="52">
        <f t="shared" si="9"/>
        <v>1.24</v>
      </c>
      <c r="G66" s="47">
        <f>H66/$B$9</f>
        <v>322580.6451612903</v>
      </c>
      <c r="H66" s="47">
        <f>400000</f>
        <v>400000</v>
      </c>
      <c r="I66" s="47">
        <f t="shared" si="10"/>
        <v>400000</v>
      </c>
      <c r="J66" s="48" t="s">
        <v>471</v>
      </c>
      <c r="K66" s="49">
        <v>41275</v>
      </c>
      <c r="L66" s="49">
        <v>41639</v>
      </c>
      <c r="M66" s="48" t="s">
        <v>19</v>
      </c>
    </row>
    <row r="67" spans="1:13" ht="12">
      <c r="A67" s="48"/>
      <c r="B67" s="53" t="s">
        <v>110</v>
      </c>
      <c r="C67" s="43"/>
      <c r="D67" s="109">
        <f>D68+D73</f>
        <v>14578.87355133978</v>
      </c>
      <c r="E67" s="52">
        <f t="shared" si="8"/>
        <v>4.37</v>
      </c>
      <c r="F67" s="52">
        <f t="shared" si="9"/>
        <v>1.2399999999999998</v>
      </c>
      <c r="G67" s="109">
        <f>G68+G73</f>
        <v>63709.67741935485</v>
      </c>
      <c r="H67" s="109">
        <f>H68+H73</f>
        <v>79000</v>
      </c>
      <c r="I67" s="109">
        <f t="shared" si="10"/>
        <v>79000</v>
      </c>
      <c r="J67" s="34"/>
      <c r="K67" s="54"/>
      <c r="L67" s="54"/>
      <c r="M67" s="54"/>
    </row>
    <row r="68" spans="1:13" ht="36">
      <c r="A68" s="48"/>
      <c r="B68" s="58" t="s">
        <v>111</v>
      </c>
      <c r="C68" s="43"/>
      <c r="D68" s="109">
        <f>SUM(D69:D72)</f>
        <v>6901.8970989887075</v>
      </c>
      <c r="E68" s="52">
        <f t="shared" si="8"/>
        <v>4.369999999999999</v>
      </c>
      <c r="F68" s="52">
        <f t="shared" si="9"/>
        <v>1.24</v>
      </c>
      <c r="G68" s="109">
        <f>SUM(G69:G72)</f>
        <v>30161.290322580648</v>
      </c>
      <c r="H68" s="109">
        <f>SUM(H69:H72)</f>
        <v>37400</v>
      </c>
      <c r="I68" s="109">
        <f>SUM(I69:I72)</f>
        <v>37400</v>
      </c>
      <c r="J68" s="34"/>
      <c r="K68" s="54"/>
      <c r="L68" s="54"/>
      <c r="M68" s="54"/>
    </row>
    <row r="69" spans="1:13" ht="24">
      <c r="A69" s="48">
        <v>48</v>
      </c>
      <c r="B69" s="43" t="s">
        <v>112</v>
      </c>
      <c r="C69" s="43" t="s">
        <v>113</v>
      </c>
      <c r="D69" s="47">
        <f aca="true" t="shared" si="11" ref="D69:D85">G69/$B$8</f>
        <v>1974.6069240422235</v>
      </c>
      <c r="E69" s="52">
        <f t="shared" si="8"/>
        <v>4.37</v>
      </c>
      <c r="F69" s="52">
        <f t="shared" si="9"/>
        <v>1.2399999999999998</v>
      </c>
      <c r="G69" s="47">
        <f>H69/$B$9</f>
        <v>8629.032258064517</v>
      </c>
      <c r="H69" s="55">
        <f>15000-4000-300</f>
        <v>10700</v>
      </c>
      <c r="I69" s="55">
        <f t="shared" si="10"/>
        <v>10700</v>
      </c>
      <c r="J69" s="48" t="str">
        <f>IF(D69&lt;=15000,"Cumparare directa",IF(D69&lt;=130000,"Cerere de Oferte","Licitatie deschisa"))</f>
        <v>Cumparare directa</v>
      </c>
      <c r="K69" s="49">
        <v>41275</v>
      </c>
      <c r="L69" s="49">
        <v>41639</v>
      </c>
      <c r="M69" s="48" t="s">
        <v>19</v>
      </c>
    </row>
    <row r="70" spans="1:13" ht="24">
      <c r="A70" s="48">
        <v>49</v>
      </c>
      <c r="B70" s="46" t="s">
        <v>114</v>
      </c>
      <c r="C70" s="43" t="s">
        <v>115</v>
      </c>
      <c r="D70" s="47">
        <f t="shared" si="11"/>
        <v>3690.854063630324</v>
      </c>
      <c r="E70" s="52">
        <f t="shared" si="8"/>
        <v>4.37</v>
      </c>
      <c r="F70" s="52">
        <f t="shared" si="9"/>
        <v>1.24</v>
      </c>
      <c r="G70" s="47">
        <f>H70/$B$9</f>
        <v>16129.032258064517</v>
      </c>
      <c r="H70" s="55">
        <v>20000</v>
      </c>
      <c r="I70" s="55">
        <f t="shared" si="10"/>
        <v>20000</v>
      </c>
      <c r="J70" s="48" t="str">
        <f>IF(D70&lt;=15000,"Cumparare directa",IF(D70&lt;=130000,"Cerere de Oferte","Licitatie deschisa"))</f>
        <v>Cumparare directa</v>
      </c>
      <c r="K70" s="49">
        <v>41275</v>
      </c>
      <c r="L70" s="49">
        <v>41639</v>
      </c>
      <c r="M70" s="48" t="s">
        <v>19</v>
      </c>
    </row>
    <row r="71" spans="1:13" ht="24">
      <c r="A71" s="48">
        <v>50</v>
      </c>
      <c r="B71" s="46" t="s">
        <v>116</v>
      </c>
      <c r="C71" s="43" t="s">
        <v>117</v>
      </c>
      <c r="D71" s="47">
        <f>G71/$B$8</f>
        <v>756.6250830442165</v>
      </c>
      <c r="E71" s="52">
        <f>G71/D71</f>
        <v>4.37</v>
      </c>
      <c r="F71" s="52">
        <f>H71/G71</f>
        <v>1.24</v>
      </c>
      <c r="G71" s="47">
        <f>H71/$B$9</f>
        <v>3306.451612903226</v>
      </c>
      <c r="H71" s="55">
        <v>4100</v>
      </c>
      <c r="I71" s="55">
        <f t="shared" si="10"/>
        <v>4100</v>
      </c>
      <c r="J71" s="48" t="str">
        <f>IF(D71&lt;=15000,"Cumparare directa",IF(D71&lt;=130000,"Cerere de Oferte","Licitatie deschisa"))</f>
        <v>Cumparare directa</v>
      </c>
      <c r="K71" s="49">
        <v>41275</v>
      </c>
      <c r="L71" s="49">
        <v>41639</v>
      </c>
      <c r="M71" s="48" t="s">
        <v>19</v>
      </c>
    </row>
    <row r="72" spans="1:13" ht="25.5" customHeight="1">
      <c r="A72" s="48">
        <v>51</v>
      </c>
      <c r="B72" s="46" t="s">
        <v>118</v>
      </c>
      <c r="C72" s="43" t="s">
        <v>119</v>
      </c>
      <c r="D72" s="47">
        <f>G72/$B$8</f>
        <v>479.8110282719422</v>
      </c>
      <c r="E72" s="52">
        <f>G72/D72</f>
        <v>4.37</v>
      </c>
      <c r="F72" s="52">
        <f>H72/G72</f>
        <v>1.2399999999999998</v>
      </c>
      <c r="G72" s="47">
        <f>H72/$B$9</f>
        <v>2096.7741935483873</v>
      </c>
      <c r="H72" s="55">
        <v>2600</v>
      </c>
      <c r="I72" s="55">
        <f t="shared" si="10"/>
        <v>2600</v>
      </c>
      <c r="J72" s="48" t="str">
        <f>IF(D72&lt;=15000,"Cumparare directa",IF(D72&lt;=130000,"Cerere de Oferte","Licitatie deschisa"))</f>
        <v>Cumparare directa</v>
      </c>
      <c r="K72" s="49">
        <v>41275</v>
      </c>
      <c r="L72" s="49">
        <v>41639</v>
      </c>
      <c r="M72" s="48" t="s">
        <v>19</v>
      </c>
    </row>
    <row r="73" spans="1:13" ht="48">
      <c r="A73" s="48"/>
      <c r="B73" s="58" t="s">
        <v>121</v>
      </c>
      <c r="C73" s="43"/>
      <c r="D73" s="109">
        <f>SUM(D74:D78)</f>
        <v>7676.976452351074</v>
      </c>
      <c r="E73" s="52">
        <f t="shared" si="8"/>
        <v>4.37</v>
      </c>
      <c r="F73" s="52">
        <f t="shared" si="9"/>
        <v>1.2399999999999998</v>
      </c>
      <c r="G73" s="109">
        <f>SUM(G74:G78)</f>
        <v>33548.3870967742</v>
      </c>
      <c r="H73" s="109">
        <f>SUM(H74:H78)</f>
        <v>41600</v>
      </c>
      <c r="I73" s="109">
        <f t="shared" si="10"/>
        <v>41600</v>
      </c>
      <c r="J73" s="34"/>
      <c r="K73" s="54"/>
      <c r="L73" s="54"/>
      <c r="M73" s="54"/>
    </row>
    <row r="74" spans="1:13" ht="24">
      <c r="A74" s="48">
        <v>52</v>
      </c>
      <c r="B74" s="46" t="s">
        <v>122</v>
      </c>
      <c r="C74" s="43" t="s">
        <v>123</v>
      </c>
      <c r="D74" s="47">
        <f t="shared" si="11"/>
        <v>147.63416254521294</v>
      </c>
      <c r="E74" s="52">
        <f t="shared" si="8"/>
        <v>4.37</v>
      </c>
      <c r="F74" s="52">
        <f t="shared" si="9"/>
        <v>1.24</v>
      </c>
      <c r="G74" s="47">
        <f>H74/$B$9</f>
        <v>645.1612903225806</v>
      </c>
      <c r="H74" s="47">
        <v>800</v>
      </c>
      <c r="I74" s="47">
        <f t="shared" si="10"/>
        <v>800</v>
      </c>
      <c r="J74" s="48" t="str">
        <f>IF(D74&lt;=15000,"Cumparare directa",IF(D74&lt;=130000,"Cerere de Oferte","Licitatie deschisa"))</f>
        <v>Cumparare directa</v>
      </c>
      <c r="K74" s="49">
        <v>41275</v>
      </c>
      <c r="L74" s="49">
        <v>41639</v>
      </c>
      <c r="M74" s="48" t="s">
        <v>19</v>
      </c>
    </row>
    <row r="75" spans="1:13" ht="24">
      <c r="A75" s="48">
        <v>53</v>
      </c>
      <c r="B75" s="46" t="s">
        <v>124</v>
      </c>
      <c r="C75" s="43" t="s">
        <v>125</v>
      </c>
      <c r="D75" s="47">
        <f t="shared" si="11"/>
        <v>7381.708127260648</v>
      </c>
      <c r="E75" s="52">
        <f t="shared" si="8"/>
        <v>4.37</v>
      </c>
      <c r="F75" s="52">
        <f t="shared" si="9"/>
        <v>1.24</v>
      </c>
      <c r="G75" s="47">
        <f>H75/$B$9</f>
        <v>32258.064516129034</v>
      </c>
      <c r="H75" s="47">
        <v>40000</v>
      </c>
      <c r="I75" s="47">
        <f t="shared" si="10"/>
        <v>40000</v>
      </c>
      <c r="J75" s="48" t="str">
        <f aca="true" t="shared" si="12" ref="J75:J81">IF(D75&lt;=15000,"Cumparare directa",IF(D75&lt;=130000,"Cerere de Oferte","Licitatie deschisa"))</f>
        <v>Cumparare directa</v>
      </c>
      <c r="K75" s="49">
        <v>41275</v>
      </c>
      <c r="L75" s="49">
        <v>41639</v>
      </c>
      <c r="M75" s="48" t="s">
        <v>19</v>
      </c>
    </row>
    <row r="76" spans="1:13" ht="24">
      <c r="A76" s="48">
        <v>54</v>
      </c>
      <c r="B76" s="46" t="s">
        <v>127</v>
      </c>
      <c r="C76" s="43" t="s">
        <v>128</v>
      </c>
      <c r="D76" s="47">
        <f t="shared" si="11"/>
        <v>36.908540636303236</v>
      </c>
      <c r="E76" s="52">
        <f t="shared" si="8"/>
        <v>4.37</v>
      </c>
      <c r="F76" s="52">
        <f t="shared" si="9"/>
        <v>1.24</v>
      </c>
      <c r="G76" s="47">
        <f>H76/$B$9</f>
        <v>161.29032258064515</v>
      </c>
      <c r="H76" s="47">
        <v>200</v>
      </c>
      <c r="I76" s="47">
        <f t="shared" si="10"/>
        <v>200</v>
      </c>
      <c r="J76" s="48" t="str">
        <f t="shared" si="12"/>
        <v>Cumparare directa</v>
      </c>
      <c r="K76" s="49">
        <v>41275</v>
      </c>
      <c r="L76" s="49">
        <v>41639</v>
      </c>
      <c r="M76" s="48" t="s">
        <v>19</v>
      </c>
    </row>
    <row r="77" spans="1:13" ht="24">
      <c r="A77" s="48">
        <v>55</v>
      </c>
      <c r="B77" s="46" t="s">
        <v>129</v>
      </c>
      <c r="C77" s="43" t="s">
        <v>128</v>
      </c>
      <c r="D77" s="47">
        <f t="shared" si="11"/>
        <v>18.454270318151618</v>
      </c>
      <c r="E77" s="52">
        <f t="shared" si="8"/>
        <v>4.37</v>
      </c>
      <c r="F77" s="52">
        <f t="shared" si="9"/>
        <v>1.24</v>
      </c>
      <c r="G77" s="47">
        <f>H77/$B$9</f>
        <v>80.64516129032258</v>
      </c>
      <c r="H77" s="47">
        <f>100</f>
        <v>100</v>
      </c>
      <c r="I77" s="47">
        <f t="shared" si="10"/>
        <v>100</v>
      </c>
      <c r="J77" s="48" t="str">
        <f t="shared" si="12"/>
        <v>Cumparare directa</v>
      </c>
      <c r="K77" s="49">
        <v>41275</v>
      </c>
      <c r="L77" s="49">
        <v>41639</v>
      </c>
      <c r="M77" s="48" t="s">
        <v>19</v>
      </c>
    </row>
    <row r="78" spans="1:13" ht="36" customHeight="1">
      <c r="A78" s="48">
        <v>56</v>
      </c>
      <c r="B78" s="46" t="s">
        <v>130</v>
      </c>
      <c r="C78" s="43" t="s">
        <v>126</v>
      </c>
      <c r="D78" s="47">
        <f t="shared" si="11"/>
        <v>92.2713515907581</v>
      </c>
      <c r="E78" s="52">
        <f t="shared" si="8"/>
        <v>4.37</v>
      </c>
      <c r="F78" s="52">
        <f t="shared" si="9"/>
        <v>1.24</v>
      </c>
      <c r="G78" s="47">
        <f>H78/$B$9</f>
        <v>403.2258064516129</v>
      </c>
      <c r="H78" s="47">
        <v>500</v>
      </c>
      <c r="I78" s="47">
        <f t="shared" si="10"/>
        <v>500</v>
      </c>
      <c r="J78" s="48" t="str">
        <f t="shared" si="12"/>
        <v>Cumparare directa</v>
      </c>
      <c r="K78" s="49">
        <v>41275</v>
      </c>
      <c r="L78" s="49">
        <v>41639</v>
      </c>
      <c r="M78" s="48" t="s">
        <v>19</v>
      </c>
    </row>
    <row r="79" spans="1:13" ht="24">
      <c r="A79" s="48"/>
      <c r="B79" s="53" t="s">
        <v>131</v>
      </c>
      <c r="C79" s="43"/>
      <c r="D79" s="114">
        <f>SUM(D80:D85)</f>
        <v>126780.83708570161</v>
      </c>
      <c r="E79" s="52">
        <f t="shared" si="8"/>
        <v>4.370000000000001</v>
      </c>
      <c r="F79" s="52">
        <f t="shared" si="9"/>
        <v>1.24</v>
      </c>
      <c r="G79" s="114">
        <f>SUM(G80:G85)</f>
        <v>554032.2580645161</v>
      </c>
      <c r="H79" s="109">
        <f>SUM(H80:H85)</f>
        <v>687000</v>
      </c>
      <c r="I79" s="114">
        <f t="shared" si="10"/>
        <v>687000</v>
      </c>
      <c r="J79" s="57"/>
      <c r="K79" s="49">
        <v>41275</v>
      </c>
      <c r="L79" s="49">
        <v>41639</v>
      </c>
      <c r="M79" s="56"/>
    </row>
    <row r="80" spans="1:13" ht="24">
      <c r="A80" s="48">
        <v>57</v>
      </c>
      <c r="B80" s="46" t="s">
        <v>132</v>
      </c>
      <c r="C80" s="43" t="s">
        <v>133</v>
      </c>
      <c r="D80" s="47">
        <f t="shared" si="11"/>
        <v>10149.84867498339</v>
      </c>
      <c r="E80" s="52">
        <f t="shared" si="8"/>
        <v>4.37</v>
      </c>
      <c r="F80" s="52">
        <f t="shared" si="9"/>
        <v>1.24</v>
      </c>
      <c r="G80" s="47">
        <f aca="true" t="shared" si="13" ref="G80:G85">H80/$B$9</f>
        <v>44354.83870967742</v>
      </c>
      <c r="H80" s="47">
        <v>55000</v>
      </c>
      <c r="I80" s="47">
        <f t="shared" si="10"/>
        <v>55000</v>
      </c>
      <c r="J80" s="48" t="str">
        <f t="shared" si="12"/>
        <v>Cumparare directa</v>
      </c>
      <c r="K80" s="49">
        <v>41275</v>
      </c>
      <c r="L80" s="49">
        <v>41639</v>
      </c>
      <c r="M80" s="48" t="s">
        <v>19</v>
      </c>
    </row>
    <row r="81" spans="1:13" ht="30.75" customHeight="1">
      <c r="A81" s="48">
        <v>58</v>
      </c>
      <c r="B81" s="46" t="s">
        <v>134</v>
      </c>
      <c r="C81" s="43" t="s">
        <v>135</v>
      </c>
      <c r="D81" s="47">
        <f t="shared" si="11"/>
        <v>9227.13515907581</v>
      </c>
      <c r="E81" s="52">
        <f t="shared" si="8"/>
        <v>4.37</v>
      </c>
      <c r="F81" s="52">
        <f t="shared" si="9"/>
        <v>1.24</v>
      </c>
      <c r="G81" s="47">
        <f t="shared" si="13"/>
        <v>40322.58064516129</v>
      </c>
      <c r="H81" s="47">
        <v>50000</v>
      </c>
      <c r="I81" s="47">
        <f t="shared" si="10"/>
        <v>50000</v>
      </c>
      <c r="J81" s="48" t="str">
        <f t="shared" si="12"/>
        <v>Cumparare directa</v>
      </c>
      <c r="K81" s="49">
        <v>41275</v>
      </c>
      <c r="L81" s="49">
        <v>41639</v>
      </c>
      <c r="M81" s="48" t="s">
        <v>19</v>
      </c>
    </row>
    <row r="82" spans="1:13" ht="48">
      <c r="A82" s="48">
        <v>59</v>
      </c>
      <c r="B82" s="46" t="s">
        <v>136</v>
      </c>
      <c r="C82" s="43" t="s">
        <v>137</v>
      </c>
      <c r="D82" s="47">
        <f t="shared" si="11"/>
        <v>36908.54063630324</v>
      </c>
      <c r="E82" s="52">
        <f t="shared" si="8"/>
        <v>4.37</v>
      </c>
      <c r="F82" s="52">
        <f t="shared" si="9"/>
        <v>1.24</v>
      </c>
      <c r="G82" s="47">
        <f t="shared" si="13"/>
        <v>161290.32258064515</v>
      </c>
      <c r="H82" s="47">
        <v>200000</v>
      </c>
      <c r="I82" s="47">
        <f t="shared" si="10"/>
        <v>200000</v>
      </c>
      <c r="J82" s="48" t="s">
        <v>138</v>
      </c>
      <c r="K82" s="49">
        <v>41275</v>
      </c>
      <c r="L82" s="49">
        <v>41639</v>
      </c>
      <c r="M82" s="48" t="s">
        <v>19</v>
      </c>
    </row>
    <row r="83" spans="1:13" ht="48">
      <c r="A83" s="48">
        <v>60</v>
      </c>
      <c r="B83" s="46" t="s">
        <v>139</v>
      </c>
      <c r="C83" s="43" t="s">
        <v>140</v>
      </c>
      <c r="D83" s="47">
        <f t="shared" si="11"/>
        <v>62744.51908171551</v>
      </c>
      <c r="E83" s="52">
        <f t="shared" si="8"/>
        <v>4.37</v>
      </c>
      <c r="F83" s="52">
        <f t="shared" si="9"/>
        <v>1.24</v>
      </c>
      <c r="G83" s="47">
        <f t="shared" si="13"/>
        <v>274193.5483870968</v>
      </c>
      <c r="H83" s="47">
        <v>340000</v>
      </c>
      <c r="I83" s="47">
        <f t="shared" si="10"/>
        <v>340000</v>
      </c>
      <c r="J83" s="48" t="s">
        <v>138</v>
      </c>
      <c r="K83" s="49">
        <v>41275</v>
      </c>
      <c r="L83" s="49">
        <v>41639</v>
      </c>
      <c r="M83" s="48" t="s">
        <v>19</v>
      </c>
    </row>
    <row r="84" spans="1:13" ht="19.5" customHeight="1">
      <c r="A84" s="48">
        <v>61</v>
      </c>
      <c r="B84" s="46" t="s">
        <v>141</v>
      </c>
      <c r="C84" s="43" t="s">
        <v>142</v>
      </c>
      <c r="D84" s="47">
        <f t="shared" si="11"/>
        <v>4982.652985900938</v>
      </c>
      <c r="E84" s="52">
        <f t="shared" si="8"/>
        <v>4.37</v>
      </c>
      <c r="F84" s="52">
        <f t="shared" si="9"/>
        <v>1.24</v>
      </c>
      <c r="G84" s="47">
        <f t="shared" si="13"/>
        <v>21774.1935483871</v>
      </c>
      <c r="H84" s="47">
        <v>27000</v>
      </c>
      <c r="I84" s="47">
        <f t="shared" si="10"/>
        <v>27000</v>
      </c>
      <c r="J84" s="48" t="str">
        <f>IF(D84&lt;=15000,"Cumpărare directă",IF(D84&lt;=100000,"Cerere de Oferte","Licitaţie deschisă"))</f>
        <v>Cumpărare directă</v>
      </c>
      <c r="K84" s="49">
        <v>41275</v>
      </c>
      <c r="L84" s="49">
        <v>41639</v>
      </c>
      <c r="M84" s="48" t="s">
        <v>19</v>
      </c>
    </row>
    <row r="85" spans="1:13" ht="38.25" customHeight="1">
      <c r="A85" s="48">
        <v>62</v>
      </c>
      <c r="B85" s="46" t="s">
        <v>143</v>
      </c>
      <c r="C85" s="43" t="s">
        <v>144</v>
      </c>
      <c r="D85" s="47">
        <f t="shared" si="11"/>
        <v>2768.1405477227427</v>
      </c>
      <c r="E85" s="52">
        <f t="shared" si="8"/>
        <v>4.37</v>
      </c>
      <c r="F85" s="52">
        <f t="shared" si="9"/>
        <v>1.24</v>
      </c>
      <c r="G85" s="47">
        <f t="shared" si="13"/>
        <v>12096.774193548386</v>
      </c>
      <c r="H85" s="47">
        <v>15000</v>
      </c>
      <c r="I85" s="47">
        <f t="shared" si="10"/>
        <v>15000</v>
      </c>
      <c r="J85" s="48" t="str">
        <f>IF(D85&lt;=15000,"Cumpărare directă",IF(D85&lt;=100000,"Cerere de Oferte","Licitaţie deschisă"))</f>
        <v>Cumpărare directă</v>
      </c>
      <c r="K85" s="49">
        <v>41275</v>
      </c>
      <c r="L85" s="49">
        <v>41639</v>
      </c>
      <c r="M85" s="48" t="s">
        <v>19</v>
      </c>
    </row>
    <row r="86" spans="1:13" s="7" customFormat="1" ht="24">
      <c r="A86" s="48"/>
      <c r="B86" s="53" t="s">
        <v>145</v>
      </c>
      <c r="C86" s="43"/>
      <c r="D86" s="109">
        <f>D90+D94+D99+D87</f>
        <v>215246.20705488132</v>
      </c>
      <c r="E86" s="52">
        <f t="shared" si="8"/>
        <v>4.37</v>
      </c>
      <c r="F86" s="52">
        <f t="shared" si="9"/>
        <v>1.2385369882408461</v>
      </c>
      <c r="G86" s="109">
        <f>G90+G94+G99+G87</f>
        <v>940625.9248298315</v>
      </c>
      <c r="H86" s="109">
        <f>H90+H94+H99+H87</f>
        <v>1165000</v>
      </c>
      <c r="I86" s="109">
        <f t="shared" si="10"/>
        <v>1165000</v>
      </c>
      <c r="J86" s="57"/>
      <c r="K86" s="56"/>
      <c r="L86" s="56"/>
      <c r="M86" s="56"/>
    </row>
    <row r="87" spans="1:13" s="7" customFormat="1" ht="12">
      <c r="A87" s="48"/>
      <c r="B87" s="58" t="s">
        <v>146</v>
      </c>
      <c r="C87" s="43"/>
      <c r="D87" s="113">
        <f>SUM(D88:D89)</f>
        <v>14763.416254521295</v>
      </c>
      <c r="E87" s="52">
        <f t="shared" si="8"/>
        <v>4.37</v>
      </c>
      <c r="F87" s="52">
        <f t="shared" si="9"/>
        <v>1.24</v>
      </c>
      <c r="G87" s="113">
        <f>SUM(G88:G89)</f>
        <v>64516.12903225806</v>
      </c>
      <c r="H87" s="113">
        <f>SUM(H88:H89)</f>
        <v>80000</v>
      </c>
      <c r="I87" s="113">
        <f t="shared" si="10"/>
        <v>80000</v>
      </c>
      <c r="J87" s="35"/>
      <c r="K87" s="60"/>
      <c r="L87" s="60"/>
      <c r="M87" s="35"/>
    </row>
    <row r="88" spans="1:24" s="59" customFormat="1" ht="24">
      <c r="A88" s="48">
        <v>63</v>
      </c>
      <c r="B88" s="43" t="s">
        <v>147</v>
      </c>
      <c r="C88" s="43" t="s">
        <v>148</v>
      </c>
      <c r="D88" s="47">
        <f>G88/$B$8</f>
        <v>9227.13515907581</v>
      </c>
      <c r="E88" s="52">
        <f t="shared" si="8"/>
        <v>4.37</v>
      </c>
      <c r="F88" s="52">
        <f t="shared" si="9"/>
        <v>1.24</v>
      </c>
      <c r="G88" s="47">
        <f>H88/$B$9</f>
        <v>40322.58064516129</v>
      </c>
      <c r="H88" s="47">
        <v>50000</v>
      </c>
      <c r="I88" s="47">
        <f t="shared" si="10"/>
        <v>50000</v>
      </c>
      <c r="J88" s="48" t="str">
        <f>IF(D88&lt;=15000,"Cumpărare directă",IF(D88&lt;=130000,"Cerere de Oferte","Licitaţie deschisă"))</f>
        <v>Cumpărare directă</v>
      </c>
      <c r="K88" s="49">
        <v>41275</v>
      </c>
      <c r="L88" s="49">
        <v>41639</v>
      </c>
      <c r="M88" s="48" t="s">
        <v>19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59" customFormat="1" ht="24">
      <c r="A89" s="48">
        <v>64</v>
      </c>
      <c r="B89" s="43" t="s">
        <v>149</v>
      </c>
      <c r="C89" s="43" t="s">
        <v>150</v>
      </c>
      <c r="D89" s="47">
        <f>G89/$B$8</f>
        <v>5536.281095445485</v>
      </c>
      <c r="E89" s="52">
        <f t="shared" si="8"/>
        <v>4.37</v>
      </c>
      <c r="F89" s="52">
        <f t="shared" si="9"/>
        <v>1.24</v>
      </c>
      <c r="G89" s="47">
        <f>H89/$B$9</f>
        <v>24193.548387096773</v>
      </c>
      <c r="H89" s="47">
        <v>30000</v>
      </c>
      <c r="I89" s="47">
        <f t="shared" si="10"/>
        <v>30000</v>
      </c>
      <c r="J89" s="48" t="str">
        <f>IF(D89&lt;=15000,"Cumpărare directă",IF(D89&lt;=130000,"Cerere de Oferte","Licitaţie deschisă"))</f>
        <v>Cumpărare directă</v>
      </c>
      <c r="K89" s="49">
        <v>41275</v>
      </c>
      <c r="L89" s="49">
        <v>41639</v>
      </c>
      <c r="M89" s="48" t="s">
        <v>19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s="59" customFormat="1" ht="12">
      <c r="A90" s="48"/>
      <c r="B90" s="58" t="s">
        <v>151</v>
      </c>
      <c r="C90" s="43"/>
      <c r="D90" s="114">
        <f>SUM(D91:D93)</f>
        <v>14763.416254521297</v>
      </c>
      <c r="E90" s="52">
        <f t="shared" si="8"/>
        <v>4.369999999999999</v>
      </c>
      <c r="F90" s="52">
        <f t="shared" si="9"/>
        <v>1.24</v>
      </c>
      <c r="G90" s="114">
        <f>SUM(G91:G93)</f>
        <v>64516.12903225806</v>
      </c>
      <c r="H90" s="109">
        <f>SUM(H91:H93)</f>
        <v>80000</v>
      </c>
      <c r="I90" s="109">
        <f t="shared" si="10"/>
        <v>80000</v>
      </c>
      <c r="J90" s="57"/>
      <c r="K90" s="49">
        <v>41275</v>
      </c>
      <c r="L90" s="49">
        <v>41639</v>
      </c>
      <c r="M90" s="5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13" ht="40.5" customHeight="1">
      <c r="A91" s="48">
        <v>65</v>
      </c>
      <c r="B91" s="46" t="s">
        <v>152</v>
      </c>
      <c r="C91" s="43" t="s">
        <v>153</v>
      </c>
      <c r="D91" s="47">
        <f aca="true" t="shared" si="14" ref="D91:D105">G91/$B$8</f>
        <v>5536.281095445485</v>
      </c>
      <c r="E91" s="52">
        <f t="shared" si="8"/>
        <v>4.37</v>
      </c>
      <c r="F91" s="52">
        <f t="shared" si="9"/>
        <v>1.24</v>
      </c>
      <c r="G91" s="47">
        <f>H91/$B$9</f>
        <v>24193.548387096773</v>
      </c>
      <c r="H91" s="47">
        <v>30000</v>
      </c>
      <c r="I91" s="47">
        <f t="shared" si="10"/>
        <v>30000</v>
      </c>
      <c r="J91" s="48" t="str">
        <f>IF(D91&lt;=15000,"Cumpărare directă",IF(D91&lt;=130000,"Cerere de Oferte","Licitaţie deschisă"))</f>
        <v>Cumpărare directă</v>
      </c>
      <c r="K91" s="49">
        <v>41275</v>
      </c>
      <c r="L91" s="49">
        <v>41639</v>
      </c>
      <c r="M91" s="48" t="s">
        <v>19</v>
      </c>
    </row>
    <row r="92" spans="1:13" ht="24">
      <c r="A92" s="48">
        <v>66</v>
      </c>
      <c r="B92" s="46" t="s">
        <v>154</v>
      </c>
      <c r="C92" s="43" t="s">
        <v>155</v>
      </c>
      <c r="D92" s="47">
        <f t="shared" si="14"/>
        <v>73.81708127260647</v>
      </c>
      <c r="E92" s="52">
        <f t="shared" si="8"/>
        <v>4.37</v>
      </c>
      <c r="F92" s="52">
        <f t="shared" si="9"/>
        <v>1.24</v>
      </c>
      <c r="G92" s="47">
        <f>H92/$B$9</f>
        <v>322.5806451612903</v>
      </c>
      <c r="H92" s="47">
        <v>400</v>
      </c>
      <c r="I92" s="47">
        <f t="shared" si="10"/>
        <v>400</v>
      </c>
      <c r="J92" s="48" t="str">
        <f>IF(D92&lt;=15000,"Cumpărare directă",IF(D92&lt;=130000,"Cerere de Oferte","Licitaţie deschisă"))</f>
        <v>Cumpărare directă</v>
      </c>
      <c r="K92" s="49">
        <v>41275</v>
      </c>
      <c r="L92" s="49">
        <v>41639</v>
      </c>
      <c r="M92" s="48" t="s">
        <v>19</v>
      </c>
    </row>
    <row r="93" spans="1:13" ht="24">
      <c r="A93" s="48">
        <v>67</v>
      </c>
      <c r="B93" s="46" t="s">
        <v>156</v>
      </c>
      <c r="C93" s="43" t="s">
        <v>157</v>
      </c>
      <c r="D93" s="47">
        <f t="shared" si="14"/>
        <v>9153.318077803204</v>
      </c>
      <c r="E93" s="52">
        <f t="shared" si="8"/>
        <v>4.37</v>
      </c>
      <c r="F93" s="52">
        <f t="shared" si="9"/>
        <v>1.24</v>
      </c>
      <c r="G93" s="47">
        <f>H93/$B$9</f>
        <v>40000</v>
      </c>
      <c r="H93" s="47">
        <v>49600</v>
      </c>
      <c r="I93" s="47">
        <f t="shared" si="10"/>
        <v>49600</v>
      </c>
      <c r="J93" s="48" t="str">
        <f>IF(D93&lt;=15000,"Cumpărare directă",IF(D93&lt;=130000,"Cerere de Oferte","Licitaţie deschisă"))</f>
        <v>Cumpărare directă</v>
      </c>
      <c r="K93" s="49">
        <v>41275</v>
      </c>
      <c r="L93" s="49">
        <v>41639</v>
      </c>
      <c r="M93" s="48" t="s">
        <v>19</v>
      </c>
    </row>
    <row r="94" spans="1:13" ht="24">
      <c r="A94" s="48"/>
      <c r="B94" s="58" t="s">
        <v>158</v>
      </c>
      <c r="C94" s="43"/>
      <c r="D94" s="109">
        <f>SUM(D95:D98)</f>
        <v>94370.7364709882</v>
      </c>
      <c r="E94" s="52">
        <f t="shared" si="8"/>
        <v>4.370000000000001</v>
      </c>
      <c r="F94" s="52">
        <f t="shared" si="9"/>
        <v>1.236663078579117</v>
      </c>
      <c r="G94" s="109">
        <f>SUM(G95:G98)</f>
        <v>412400.1183782185</v>
      </c>
      <c r="H94" s="109">
        <f>SUM(H95:H98)</f>
        <v>510000</v>
      </c>
      <c r="I94" s="109">
        <f t="shared" si="10"/>
        <v>510000</v>
      </c>
      <c r="J94" s="34"/>
      <c r="K94" s="49">
        <v>41275</v>
      </c>
      <c r="L94" s="49">
        <v>41639</v>
      </c>
      <c r="M94" s="54"/>
    </row>
    <row r="95" spans="1:13" ht="24">
      <c r="A95" s="48">
        <v>68</v>
      </c>
      <c r="B95" s="46" t="s">
        <v>159</v>
      </c>
      <c r="C95" s="43" t="s">
        <v>160</v>
      </c>
      <c r="D95" s="47">
        <f t="shared" si="14"/>
        <v>6458.994611353068</v>
      </c>
      <c r="E95" s="52">
        <f t="shared" si="8"/>
        <v>4.37</v>
      </c>
      <c r="F95" s="52">
        <f t="shared" si="9"/>
        <v>1.24</v>
      </c>
      <c r="G95" s="47">
        <f>H95/$B$9</f>
        <v>28225.806451612905</v>
      </c>
      <c r="H95" s="47">
        <v>35000</v>
      </c>
      <c r="I95" s="47">
        <f t="shared" si="10"/>
        <v>35000</v>
      </c>
      <c r="J95" s="48" t="str">
        <f>IF(D95&lt;=15000,"Cumpărare directă",IF(D95&lt;=130000,"Cerere de Oferte","Licitaţie deschisă"))</f>
        <v>Cumpărare directă</v>
      </c>
      <c r="K95" s="49">
        <v>41275</v>
      </c>
      <c r="L95" s="49">
        <v>41639</v>
      </c>
      <c r="M95" s="48" t="s">
        <v>19</v>
      </c>
    </row>
    <row r="96" spans="1:13" ht="84">
      <c r="A96" s="48">
        <v>69</v>
      </c>
      <c r="B96" s="50" t="s">
        <v>469</v>
      </c>
      <c r="C96" s="43" t="s">
        <v>161</v>
      </c>
      <c r="D96" s="47">
        <f t="shared" si="14"/>
        <v>55362.810954454864</v>
      </c>
      <c r="E96" s="52">
        <f t="shared" si="8"/>
        <v>4.37</v>
      </c>
      <c r="F96" s="52">
        <f t="shared" si="9"/>
        <v>1.24</v>
      </c>
      <c r="G96" s="47">
        <f>H96/$B$9</f>
        <v>241935.48387096776</v>
      </c>
      <c r="H96" s="47">
        <v>300000</v>
      </c>
      <c r="I96" s="47">
        <f t="shared" si="10"/>
        <v>300000</v>
      </c>
      <c r="J96" s="48" t="s">
        <v>162</v>
      </c>
      <c r="K96" s="49">
        <v>41275</v>
      </c>
      <c r="L96" s="49">
        <v>41639</v>
      </c>
      <c r="M96" s="48" t="s">
        <v>19</v>
      </c>
    </row>
    <row r="97" spans="1:13" ht="84">
      <c r="A97" s="48">
        <v>70</v>
      </c>
      <c r="B97" s="50" t="s">
        <v>163</v>
      </c>
      <c r="C97" s="43" t="s">
        <v>161</v>
      </c>
      <c r="D97" s="47">
        <f t="shared" si="14"/>
        <v>30449.546024950178</v>
      </c>
      <c r="E97" s="52">
        <f t="shared" si="8"/>
        <v>4.37</v>
      </c>
      <c r="F97" s="52">
        <f t="shared" si="9"/>
        <v>1.2399999999999998</v>
      </c>
      <c r="G97" s="47">
        <f>H97/$B$9</f>
        <v>133064.51612903227</v>
      </c>
      <c r="H97" s="47">
        <v>165000</v>
      </c>
      <c r="I97" s="47">
        <f t="shared" si="10"/>
        <v>165000</v>
      </c>
      <c r="J97" s="48" t="s">
        <v>162</v>
      </c>
      <c r="K97" s="49">
        <v>41275</v>
      </c>
      <c r="L97" s="49">
        <v>41639</v>
      </c>
      <c r="M97" s="48" t="s">
        <v>19</v>
      </c>
    </row>
    <row r="98" spans="1:13" ht="24">
      <c r="A98" s="48">
        <v>71</v>
      </c>
      <c r="B98" s="50" t="s">
        <v>164</v>
      </c>
      <c r="C98" s="61" t="s">
        <v>165</v>
      </c>
      <c r="D98" s="47">
        <f t="shared" si="14"/>
        <v>2099.384880230092</v>
      </c>
      <c r="E98" s="52">
        <f t="shared" si="8"/>
        <v>4.37</v>
      </c>
      <c r="F98" s="52">
        <f t="shared" si="9"/>
        <v>1.09</v>
      </c>
      <c r="G98" s="47">
        <f>H98/1.09</f>
        <v>9174.311926605504</v>
      </c>
      <c r="H98" s="47">
        <v>10000</v>
      </c>
      <c r="I98" s="47">
        <f t="shared" si="10"/>
        <v>10000</v>
      </c>
      <c r="J98" s="48" t="str">
        <f>IF(D98&lt;=15000,"Cumpărare directă",IF(D98&lt;=130000,"Cerere de Oferte","Licitaţie deschisă"))</f>
        <v>Cumpărare directă</v>
      </c>
      <c r="K98" s="49">
        <v>41275</v>
      </c>
      <c r="L98" s="49">
        <v>41639</v>
      </c>
      <c r="M98" s="48" t="s">
        <v>19</v>
      </c>
    </row>
    <row r="99" spans="1:13" ht="36">
      <c r="A99" s="48"/>
      <c r="B99" s="58" t="s">
        <v>166</v>
      </c>
      <c r="C99" s="43"/>
      <c r="D99" s="114">
        <f>SUM(D100:D105)</f>
        <v>91348.63807485053</v>
      </c>
      <c r="E99" s="52">
        <f t="shared" si="8"/>
        <v>4.369999999999999</v>
      </c>
      <c r="F99" s="52">
        <f t="shared" si="9"/>
        <v>1.24</v>
      </c>
      <c r="G99" s="114">
        <f>SUM(G100:G105)</f>
        <v>399193.5483870968</v>
      </c>
      <c r="H99" s="109">
        <f>SUM(H100:H105)</f>
        <v>495000</v>
      </c>
      <c r="I99" s="109">
        <f t="shared" si="10"/>
        <v>495000</v>
      </c>
      <c r="J99" s="57"/>
      <c r="K99" s="56"/>
      <c r="L99" s="56"/>
      <c r="M99" s="56"/>
    </row>
    <row r="100" spans="1:13" ht="24">
      <c r="A100" s="48">
        <v>72</v>
      </c>
      <c r="B100" s="46" t="s">
        <v>167</v>
      </c>
      <c r="C100" s="43" t="s">
        <v>168</v>
      </c>
      <c r="D100" s="47">
        <f t="shared" si="14"/>
        <v>73817.08127260648</v>
      </c>
      <c r="E100" s="52">
        <f t="shared" si="8"/>
        <v>4.37</v>
      </c>
      <c r="F100" s="52">
        <f t="shared" si="9"/>
        <v>1.24</v>
      </c>
      <c r="G100" s="47">
        <f aca="true" t="shared" si="15" ref="G100:G105">H100/$B$9</f>
        <v>322580.6451612903</v>
      </c>
      <c r="H100" s="47">
        <v>400000</v>
      </c>
      <c r="I100" s="47">
        <f t="shared" si="10"/>
        <v>400000</v>
      </c>
      <c r="J100" s="48" t="str">
        <f aca="true" t="shared" si="16" ref="J100:J105">IF(D100&lt;=15000,"Cumparare directa",IF(D100&lt;=130000,"Cerere de Oferte","Licitatie deschisa"))</f>
        <v>Cerere de Oferte</v>
      </c>
      <c r="K100" s="49">
        <v>41275</v>
      </c>
      <c r="L100" s="49">
        <v>41639</v>
      </c>
      <c r="M100" s="48" t="s">
        <v>19</v>
      </c>
    </row>
    <row r="101" spans="1:13" ht="24">
      <c r="A101" s="48">
        <v>73</v>
      </c>
      <c r="B101" s="46" t="s">
        <v>169</v>
      </c>
      <c r="C101" s="46" t="s">
        <v>170</v>
      </c>
      <c r="D101" s="47">
        <f t="shared" si="14"/>
        <v>3690.854063630324</v>
      </c>
      <c r="E101" s="52">
        <f t="shared" si="8"/>
        <v>4.37</v>
      </c>
      <c r="F101" s="52">
        <f t="shared" si="9"/>
        <v>1.24</v>
      </c>
      <c r="G101" s="47">
        <f t="shared" si="15"/>
        <v>16129.032258064517</v>
      </c>
      <c r="H101" s="47">
        <v>20000</v>
      </c>
      <c r="I101" s="47">
        <f t="shared" si="10"/>
        <v>20000</v>
      </c>
      <c r="J101" s="48" t="str">
        <f t="shared" si="16"/>
        <v>Cumparare directa</v>
      </c>
      <c r="K101" s="49">
        <v>41275</v>
      </c>
      <c r="L101" s="49">
        <v>41639</v>
      </c>
      <c r="M101" s="48" t="s">
        <v>19</v>
      </c>
    </row>
    <row r="102" spans="1:13" ht="24">
      <c r="A102" s="48">
        <v>74</v>
      </c>
      <c r="B102" s="62" t="s">
        <v>171</v>
      </c>
      <c r="C102" s="62" t="s">
        <v>172</v>
      </c>
      <c r="D102" s="47">
        <f>G102/$B$8</f>
        <v>922.713515907581</v>
      </c>
      <c r="E102" s="52">
        <f t="shared" si="8"/>
        <v>4.37</v>
      </c>
      <c r="F102" s="52">
        <f t="shared" si="9"/>
        <v>1.24</v>
      </c>
      <c r="G102" s="47">
        <f>H102/$B$9</f>
        <v>4032.2580645161293</v>
      </c>
      <c r="H102" s="47">
        <v>5000</v>
      </c>
      <c r="I102" s="47">
        <f t="shared" si="10"/>
        <v>5000</v>
      </c>
      <c r="J102" s="48" t="str">
        <f t="shared" si="16"/>
        <v>Cumparare directa</v>
      </c>
      <c r="K102" s="49">
        <v>41275</v>
      </c>
      <c r="L102" s="49">
        <v>41639</v>
      </c>
      <c r="M102" s="48" t="s">
        <v>19</v>
      </c>
    </row>
    <row r="103" spans="1:13" ht="24">
      <c r="A103" s="48">
        <v>75</v>
      </c>
      <c r="B103" s="63" t="s">
        <v>173</v>
      </c>
      <c r="C103" s="43" t="s">
        <v>174</v>
      </c>
      <c r="D103" s="47">
        <f>G103/$B$8</f>
        <v>6458.994611353068</v>
      </c>
      <c r="E103" s="52">
        <f t="shared" si="8"/>
        <v>4.37</v>
      </c>
      <c r="F103" s="52">
        <f t="shared" si="9"/>
        <v>1.24</v>
      </c>
      <c r="G103" s="47">
        <f>H103/$B$9</f>
        <v>28225.806451612905</v>
      </c>
      <c r="H103" s="47">
        <v>35000</v>
      </c>
      <c r="I103" s="47">
        <f t="shared" si="10"/>
        <v>35000</v>
      </c>
      <c r="J103" s="48" t="str">
        <f t="shared" si="16"/>
        <v>Cumparare directa</v>
      </c>
      <c r="K103" s="49">
        <v>41275</v>
      </c>
      <c r="L103" s="49">
        <v>41639</v>
      </c>
      <c r="M103" s="48" t="s">
        <v>19</v>
      </c>
    </row>
    <row r="104" spans="1:13" ht="41.25" customHeight="1">
      <c r="A104" s="48">
        <v>76</v>
      </c>
      <c r="B104" s="46" t="s">
        <v>479</v>
      </c>
      <c r="C104" s="46" t="s">
        <v>478</v>
      </c>
      <c r="D104" s="47">
        <f t="shared" si="14"/>
        <v>922.713515907581</v>
      </c>
      <c r="E104" s="52">
        <f t="shared" si="8"/>
        <v>4.37</v>
      </c>
      <c r="F104" s="52">
        <f t="shared" si="9"/>
        <v>1.24</v>
      </c>
      <c r="G104" s="47">
        <f t="shared" si="15"/>
        <v>4032.2580645161293</v>
      </c>
      <c r="H104" s="47">
        <v>5000</v>
      </c>
      <c r="I104" s="47">
        <f t="shared" si="10"/>
        <v>5000</v>
      </c>
      <c r="J104" s="48" t="str">
        <f t="shared" si="16"/>
        <v>Cumparare directa</v>
      </c>
      <c r="K104" s="49">
        <v>41275</v>
      </c>
      <c r="L104" s="49">
        <v>41639</v>
      </c>
      <c r="M104" s="48" t="s">
        <v>19</v>
      </c>
    </row>
    <row r="105" spans="1:13" ht="24">
      <c r="A105" s="48">
        <v>77</v>
      </c>
      <c r="B105" s="46" t="s">
        <v>175</v>
      </c>
      <c r="C105" s="43" t="s">
        <v>176</v>
      </c>
      <c r="D105" s="47">
        <f t="shared" si="14"/>
        <v>5536.281095445485</v>
      </c>
      <c r="E105" s="52">
        <f t="shared" si="8"/>
        <v>4.37</v>
      </c>
      <c r="F105" s="52">
        <f t="shared" si="9"/>
        <v>1.24</v>
      </c>
      <c r="G105" s="47">
        <f t="shared" si="15"/>
        <v>24193.548387096773</v>
      </c>
      <c r="H105" s="47">
        <v>30000</v>
      </c>
      <c r="I105" s="47">
        <f t="shared" si="10"/>
        <v>30000</v>
      </c>
      <c r="J105" s="48" t="str">
        <f t="shared" si="16"/>
        <v>Cumparare directa</v>
      </c>
      <c r="K105" s="49">
        <v>41275</v>
      </c>
      <c r="L105" s="49">
        <v>41639</v>
      </c>
      <c r="M105" s="48" t="s">
        <v>19</v>
      </c>
    </row>
    <row r="106" spans="1:13" ht="24">
      <c r="A106" s="48"/>
      <c r="B106" s="53" t="s">
        <v>177</v>
      </c>
      <c r="C106" s="43"/>
      <c r="D106" s="109">
        <f>D107+D139</f>
        <v>387539.6766811841</v>
      </c>
      <c r="E106" s="52">
        <f t="shared" si="8"/>
        <v>4.369999999999998</v>
      </c>
      <c r="F106" s="52">
        <f t="shared" si="9"/>
        <v>1.2400000000000002</v>
      </c>
      <c r="G106" s="109">
        <f>G107+G139</f>
        <v>1693548.3870967738</v>
      </c>
      <c r="H106" s="109">
        <f>H107+H139</f>
        <v>2100000</v>
      </c>
      <c r="I106" s="109">
        <f t="shared" si="10"/>
        <v>2100000</v>
      </c>
      <c r="J106" s="34"/>
      <c r="K106" s="54"/>
      <c r="L106" s="54"/>
      <c r="M106" s="54"/>
    </row>
    <row r="107" spans="1:13" ht="36.75" customHeight="1">
      <c r="A107" s="48"/>
      <c r="B107" s="58" t="s">
        <v>178</v>
      </c>
      <c r="C107" s="43"/>
      <c r="D107" s="114">
        <f>SUM(D108:D138)</f>
        <v>379133.756551266</v>
      </c>
      <c r="E107" s="52">
        <f t="shared" si="8"/>
        <v>4.369999999999999</v>
      </c>
      <c r="F107" s="52">
        <f t="shared" si="9"/>
        <v>1.2400000000000002</v>
      </c>
      <c r="G107" s="114">
        <f>SUM(G108:G138)</f>
        <v>1656814.516129032</v>
      </c>
      <c r="H107" s="109">
        <f>SUM(H108:H138)</f>
        <v>2054450</v>
      </c>
      <c r="I107" s="109">
        <f t="shared" si="10"/>
        <v>2054450</v>
      </c>
      <c r="J107" s="34"/>
      <c r="K107" s="54"/>
      <c r="L107" s="54"/>
      <c r="M107" s="54"/>
    </row>
    <row r="108" spans="1:13" ht="24">
      <c r="A108" s="48">
        <v>78</v>
      </c>
      <c r="B108" s="64" t="s">
        <v>179</v>
      </c>
      <c r="C108" s="62" t="s">
        <v>180</v>
      </c>
      <c r="D108" s="47">
        <f aca="true" t="shared" si="17" ref="D108:D169">G108/$B$8</f>
        <v>6458.994611353068</v>
      </c>
      <c r="E108" s="52">
        <f t="shared" si="8"/>
        <v>4.37</v>
      </c>
      <c r="F108" s="52">
        <f t="shared" si="9"/>
        <v>1.24</v>
      </c>
      <c r="G108" s="47">
        <f aca="true" t="shared" si="18" ref="G108:G135">H108/$B$9</f>
        <v>28225.806451612905</v>
      </c>
      <c r="H108" s="47">
        <f>19000+16000</f>
        <v>35000</v>
      </c>
      <c r="I108" s="47">
        <f t="shared" si="10"/>
        <v>35000</v>
      </c>
      <c r="J108" s="48" t="str">
        <f>IF(D108&lt;=15000,"Cumpărare directă",IF(D108&lt;=130000,"Cerere de Oferte","Licitaţie deschisă"))</f>
        <v>Cumpărare directă</v>
      </c>
      <c r="K108" s="49">
        <v>41275</v>
      </c>
      <c r="L108" s="49">
        <v>41639</v>
      </c>
      <c r="M108" s="48" t="s">
        <v>19</v>
      </c>
    </row>
    <row r="109" spans="1:13" ht="84">
      <c r="A109" s="48">
        <v>79</v>
      </c>
      <c r="B109" s="46" t="s">
        <v>181</v>
      </c>
      <c r="C109" s="43" t="s">
        <v>182</v>
      </c>
      <c r="D109" s="47">
        <f t="shared" si="17"/>
        <v>18454.27031815162</v>
      </c>
      <c r="E109" s="52">
        <f t="shared" si="8"/>
        <v>4.37</v>
      </c>
      <c r="F109" s="52">
        <f t="shared" si="9"/>
        <v>1.24</v>
      </c>
      <c r="G109" s="47">
        <f t="shared" si="18"/>
        <v>80645.16129032258</v>
      </c>
      <c r="H109" s="47">
        <v>100000</v>
      </c>
      <c r="I109" s="47">
        <f t="shared" si="10"/>
        <v>100000</v>
      </c>
      <c r="J109" s="48" t="s">
        <v>162</v>
      </c>
      <c r="K109" s="49">
        <v>41275</v>
      </c>
      <c r="L109" s="49">
        <v>41639</v>
      </c>
      <c r="M109" s="48" t="s">
        <v>19</v>
      </c>
    </row>
    <row r="110" spans="1:13" ht="36.75" customHeight="1">
      <c r="A110" s="48">
        <v>80</v>
      </c>
      <c r="B110" s="46" t="s">
        <v>183</v>
      </c>
      <c r="C110" s="43" t="s">
        <v>184</v>
      </c>
      <c r="D110" s="47">
        <f>G110/$B$8</f>
        <v>6458.994611353068</v>
      </c>
      <c r="E110" s="52">
        <f t="shared" si="8"/>
        <v>4.37</v>
      </c>
      <c r="F110" s="52">
        <f t="shared" si="9"/>
        <v>1.24</v>
      </c>
      <c r="G110" s="47">
        <f>H110/$B$9</f>
        <v>28225.806451612905</v>
      </c>
      <c r="H110" s="47">
        <v>35000</v>
      </c>
      <c r="I110" s="47">
        <f t="shared" si="10"/>
        <v>35000</v>
      </c>
      <c r="J110" s="48" t="str">
        <f>IF(D110&lt;=15000,"Cumpărare directă",IF(D110&lt;=130000,"Cerere de Oferte","Licitaţie deschisă"))</f>
        <v>Cumpărare directă</v>
      </c>
      <c r="K110" s="49">
        <v>41275</v>
      </c>
      <c r="L110" s="49">
        <v>41639</v>
      </c>
      <c r="M110" s="48" t="s">
        <v>19</v>
      </c>
    </row>
    <row r="111" spans="1:13" ht="24">
      <c r="A111" s="48">
        <v>81</v>
      </c>
      <c r="B111" s="64" t="s">
        <v>185</v>
      </c>
      <c r="C111" s="62" t="s">
        <v>186</v>
      </c>
      <c r="D111" s="47">
        <f t="shared" si="17"/>
        <v>6140.12881080682</v>
      </c>
      <c r="E111" s="52">
        <f t="shared" si="8"/>
        <v>4.37</v>
      </c>
      <c r="F111" s="52">
        <f t="shared" si="9"/>
        <v>1.24</v>
      </c>
      <c r="G111" s="47">
        <f t="shared" si="18"/>
        <v>26832.362903225803</v>
      </c>
      <c r="H111" s="47">
        <v>33272.13</v>
      </c>
      <c r="I111" s="47">
        <f t="shared" si="10"/>
        <v>33272.13</v>
      </c>
      <c r="J111" s="48" t="str">
        <f>IF(D111&lt;=15000,"Cumpărare directă",IF(D111&lt;=100000,"Cerere de Oferte","Licitaţie deschisă"))</f>
        <v>Cumpărare directă</v>
      </c>
      <c r="K111" s="49">
        <v>41275</v>
      </c>
      <c r="L111" s="49">
        <v>41639</v>
      </c>
      <c r="M111" s="48" t="s">
        <v>19</v>
      </c>
    </row>
    <row r="112" spans="1:13" ht="24">
      <c r="A112" s="48">
        <v>82</v>
      </c>
      <c r="B112" s="62" t="s">
        <v>187</v>
      </c>
      <c r="C112" s="62" t="s">
        <v>188</v>
      </c>
      <c r="D112" s="47">
        <f t="shared" si="17"/>
        <v>7381.708127260648</v>
      </c>
      <c r="E112" s="52">
        <f t="shared" si="8"/>
        <v>4.37</v>
      </c>
      <c r="F112" s="52">
        <f t="shared" si="9"/>
        <v>1.24</v>
      </c>
      <c r="G112" s="47">
        <f t="shared" si="18"/>
        <v>32258.064516129034</v>
      </c>
      <c r="H112" s="47">
        <f>20000+20000</f>
        <v>40000</v>
      </c>
      <c r="I112" s="47">
        <f t="shared" si="10"/>
        <v>40000</v>
      </c>
      <c r="J112" s="48" t="str">
        <f>IF(D112&lt;=15000,"Cumpărare directă",IF(D112&lt;=100000,"Cerere de Oferte","Licitaţie deschisă"))</f>
        <v>Cumpărare directă</v>
      </c>
      <c r="K112" s="49">
        <v>41275</v>
      </c>
      <c r="L112" s="49">
        <v>41639</v>
      </c>
      <c r="M112" s="48" t="s">
        <v>19</v>
      </c>
    </row>
    <row r="113" spans="1:13" ht="24">
      <c r="A113" s="123">
        <v>83</v>
      </c>
      <c r="B113" s="62" t="s">
        <v>189</v>
      </c>
      <c r="C113" s="62" t="s">
        <v>190</v>
      </c>
      <c r="D113" s="47">
        <f t="shared" si="17"/>
        <v>60714.54934671883</v>
      </c>
      <c r="E113" s="52">
        <f t="shared" si="8"/>
        <v>4.37</v>
      </c>
      <c r="F113" s="52">
        <f t="shared" si="9"/>
        <v>1.24</v>
      </c>
      <c r="G113" s="47">
        <f t="shared" si="18"/>
        <v>265322.5806451613</v>
      </c>
      <c r="H113" s="47">
        <f>325000+15000-11000</f>
        <v>329000</v>
      </c>
      <c r="I113" s="47">
        <f t="shared" si="10"/>
        <v>329000</v>
      </c>
      <c r="J113" s="48" t="str">
        <f>IF(D113&lt;=15000,"Cumpărare directă",IF(D113&lt;=100000,"Cerere de Oferte","Licitaţie deschisă"))</f>
        <v>Cerere de Oferte</v>
      </c>
      <c r="K113" s="49">
        <v>41275</v>
      </c>
      <c r="L113" s="49">
        <v>41639</v>
      </c>
      <c r="M113" s="48" t="s">
        <v>19</v>
      </c>
    </row>
    <row r="114" spans="1:13" ht="24">
      <c r="A114" s="48">
        <v>84</v>
      </c>
      <c r="B114" s="62" t="s">
        <v>191</v>
      </c>
      <c r="C114" s="62" t="s">
        <v>192</v>
      </c>
      <c r="D114" s="47">
        <f t="shared" si="17"/>
        <v>17882.18793828892</v>
      </c>
      <c r="E114" s="52">
        <f t="shared" si="8"/>
        <v>4.37</v>
      </c>
      <c r="F114" s="52">
        <f t="shared" si="9"/>
        <v>1.24</v>
      </c>
      <c r="G114" s="47">
        <f t="shared" si="18"/>
        <v>78145.16129032258</v>
      </c>
      <c r="H114" s="47">
        <f>68000+28900</f>
        <v>96900</v>
      </c>
      <c r="I114" s="47">
        <f t="shared" si="10"/>
        <v>96900</v>
      </c>
      <c r="J114" s="48" t="str">
        <f>IF(D114&lt;=15000,"Cumpărare directă",IF(D114&lt;=130000,"Cerere de Oferte","Licitaţie deschisă"))</f>
        <v>Cerere de Oferte</v>
      </c>
      <c r="K114" s="49">
        <v>41275</v>
      </c>
      <c r="L114" s="49">
        <v>41639</v>
      </c>
      <c r="M114" s="48" t="s">
        <v>19</v>
      </c>
    </row>
    <row r="115" spans="1:13" ht="24">
      <c r="A115" s="48">
        <v>85</v>
      </c>
      <c r="B115" s="62" t="s">
        <v>193</v>
      </c>
      <c r="C115" s="62" t="s">
        <v>194</v>
      </c>
      <c r="D115" s="47">
        <f t="shared" si="17"/>
        <v>11072.56219089097</v>
      </c>
      <c r="E115" s="52">
        <f aca="true" t="shared" si="19" ref="E115:E176">G115/D115</f>
        <v>4.37</v>
      </c>
      <c r="F115" s="52">
        <f t="shared" si="9"/>
        <v>1.24</v>
      </c>
      <c r="G115" s="47">
        <f t="shared" si="18"/>
        <v>48387.096774193546</v>
      </c>
      <c r="H115" s="47">
        <v>60000</v>
      </c>
      <c r="I115" s="47">
        <f t="shared" si="10"/>
        <v>60000</v>
      </c>
      <c r="J115" s="48" t="str">
        <f aca="true" t="shared" si="20" ref="J115:J136">IF(D115&lt;=15000,"Cumpărare directă",IF(D115&lt;=130000,"Cerere de Oferte","Licitaţie deschisă"))</f>
        <v>Cumpărare directă</v>
      </c>
      <c r="K115" s="49">
        <v>41275</v>
      </c>
      <c r="L115" s="49">
        <v>41639</v>
      </c>
      <c r="M115" s="48" t="s">
        <v>19</v>
      </c>
    </row>
    <row r="116" spans="1:13" ht="36">
      <c r="A116" s="48">
        <v>86</v>
      </c>
      <c r="B116" s="62" t="s">
        <v>195</v>
      </c>
      <c r="C116" s="62" t="s">
        <v>196</v>
      </c>
      <c r="D116" s="47">
        <f t="shared" si="17"/>
        <v>7381.708127260648</v>
      </c>
      <c r="E116" s="52">
        <f t="shared" si="19"/>
        <v>4.37</v>
      </c>
      <c r="F116" s="52">
        <f aca="true" t="shared" si="21" ref="F116:F176">H116/G116</f>
        <v>1.24</v>
      </c>
      <c r="G116" s="47">
        <f t="shared" si="18"/>
        <v>32258.064516129034</v>
      </c>
      <c r="H116" s="47">
        <f>50000-10000</f>
        <v>40000</v>
      </c>
      <c r="I116" s="47">
        <f aca="true" t="shared" si="22" ref="I116:I174">H116</f>
        <v>40000</v>
      </c>
      <c r="J116" s="48" t="str">
        <f t="shared" si="20"/>
        <v>Cumpărare directă</v>
      </c>
      <c r="K116" s="49">
        <v>41275</v>
      </c>
      <c r="L116" s="49">
        <v>41639</v>
      </c>
      <c r="M116" s="48" t="s">
        <v>19</v>
      </c>
    </row>
    <row r="117" spans="1:13" ht="34.5" customHeight="1">
      <c r="A117" s="48">
        <v>87</v>
      </c>
      <c r="B117" s="62" t="s">
        <v>197</v>
      </c>
      <c r="C117" s="62" t="s">
        <v>198</v>
      </c>
      <c r="D117" s="47">
        <f t="shared" si="17"/>
        <v>6200.634826898944</v>
      </c>
      <c r="E117" s="52">
        <f t="shared" si="19"/>
        <v>4.37</v>
      </c>
      <c r="F117" s="52">
        <f t="shared" si="21"/>
        <v>1.24</v>
      </c>
      <c r="G117" s="47">
        <f t="shared" si="18"/>
        <v>27096.774193548386</v>
      </c>
      <c r="H117" s="47">
        <f>15000+500+30000+27100-25000-6000-8000</f>
        <v>33600</v>
      </c>
      <c r="I117" s="47">
        <f t="shared" si="22"/>
        <v>33600</v>
      </c>
      <c r="J117" s="48" t="str">
        <f t="shared" si="20"/>
        <v>Cumpărare directă</v>
      </c>
      <c r="K117" s="49">
        <v>41275</v>
      </c>
      <c r="L117" s="49">
        <v>41639</v>
      </c>
      <c r="M117" s="48" t="s">
        <v>19</v>
      </c>
    </row>
    <row r="118" spans="1:13" ht="24">
      <c r="A118" s="48">
        <v>88</v>
      </c>
      <c r="B118" s="62" t="s">
        <v>199</v>
      </c>
      <c r="C118" s="62" t="s">
        <v>200</v>
      </c>
      <c r="D118" s="47">
        <f t="shared" si="17"/>
        <v>7381.708127260648</v>
      </c>
      <c r="E118" s="52">
        <f t="shared" si="19"/>
        <v>4.37</v>
      </c>
      <c r="F118" s="52">
        <f t="shared" si="21"/>
        <v>1.24</v>
      </c>
      <c r="G118" s="47">
        <f t="shared" si="18"/>
        <v>32258.064516129034</v>
      </c>
      <c r="H118" s="47">
        <f>23000+2000+5000+10000</f>
        <v>40000</v>
      </c>
      <c r="I118" s="47">
        <f t="shared" si="22"/>
        <v>40000</v>
      </c>
      <c r="J118" s="48" t="str">
        <f t="shared" si="20"/>
        <v>Cumpărare directă</v>
      </c>
      <c r="K118" s="49">
        <v>41275</v>
      </c>
      <c r="L118" s="49">
        <v>41639</v>
      </c>
      <c r="M118" s="48" t="s">
        <v>19</v>
      </c>
    </row>
    <row r="119" spans="1:13" ht="24">
      <c r="A119" s="48">
        <v>89</v>
      </c>
      <c r="B119" s="62" t="s">
        <v>201</v>
      </c>
      <c r="C119" s="62" t="s">
        <v>202</v>
      </c>
      <c r="D119" s="47">
        <f t="shared" si="17"/>
        <v>3690.854063630324</v>
      </c>
      <c r="E119" s="52">
        <f t="shared" si="19"/>
        <v>4.37</v>
      </c>
      <c r="F119" s="52">
        <f t="shared" si="21"/>
        <v>1.24</v>
      </c>
      <c r="G119" s="47">
        <f t="shared" si="18"/>
        <v>16129.032258064517</v>
      </c>
      <c r="H119" s="47">
        <f>20000</f>
        <v>20000</v>
      </c>
      <c r="I119" s="47">
        <f t="shared" si="22"/>
        <v>20000</v>
      </c>
      <c r="J119" s="48" t="str">
        <f t="shared" si="20"/>
        <v>Cumpărare directă</v>
      </c>
      <c r="K119" s="49">
        <v>41275</v>
      </c>
      <c r="L119" s="49">
        <v>41639</v>
      </c>
      <c r="M119" s="48" t="s">
        <v>19</v>
      </c>
    </row>
    <row r="120" spans="1:13" ht="24">
      <c r="A120" s="48">
        <v>90</v>
      </c>
      <c r="B120" s="62" t="s">
        <v>203</v>
      </c>
      <c r="C120" s="62" t="s">
        <v>202</v>
      </c>
      <c r="D120" s="47">
        <f>G120/$B$8</f>
        <v>922.713515907581</v>
      </c>
      <c r="E120" s="52">
        <f t="shared" si="19"/>
        <v>4.37</v>
      </c>
      <c r="F120" s="52">
        <f t="shared" si="21"/>
        <v>1.24</v>
      </c>
      <c r="G120" s="47">
        <f>H120/$B$9</f>
        <v>4032.2580645161293</v>
      </c>
      <c r="H120" s="47">
        <v>5000</v>
      </c>
      <c r="I120" s="47">
        <f t="shared" si="22"/>
        <v>5000</v>
      </c>
      <c r="J120" s="48" t="str">
        <f t="shared" si="20"/>
        <v>Cumpărare directă</v>
      </c>
      <c r="K120" s="49">
        <v>41275</v>
      </c>
      <c r="L120" s="49">
        <v>41639</v>
      </c>
      <c r="M120" s="48" t="s">
        <v>19</v>
      </c>
    </row>
    <row r="121" spans="1:13" ht="24">
      <c r="A121" s="48">
        <v>91</v>
      </c>
      <c r="B121" s="62" t="s">
        <v>204</v>
      </c>
      <c r="C121" s="62" t="s">
        <v>205</v>
      </c>
      <c r="D121" s="47">
        <f t="shared" si="17"/>
        <v>4011.589281759799</v>
      </c>
      <c r="E121" s="52">
        <f t="shared" si="19"/>
        <v>4.37</v>
      </c>
      <c r="F121" s="52">
        <f t="shared" si="21"/>
        <v>1.24</v>
      </c>
      <c r="G121" s="47">
        <f t="shared" si="18"/>
        <v>17530.645161290322</v>
      </c>
      <c r="H121" s="47">
        <f>20000-1000-5000+5000+1000+10000-1800-5000-1300-162</f>
        <v>21738</v>
      </c>
      <c r="I121" s="47">
        <f t="shared" si="22"/>
        <v>21738</v>
      </c>
      <c r="J121" s="48" t="str">
        <f t="shared" si="20"/>
        <v>Cumpărare directă</v>
      </c>
      <c r="K121" s="49">
        <v>41275</v>
      </c>
      <c r="L121" s="49">
        <v>41639</v>
      </c>
      <c r="M121" s="48" t="s">
        <v>19</v>
      </c>
    </row>
    <row r="122" spans="1:13" ht="24">
      <c r="A122" s="48">
        <v>92</v>
      </c>
      <c r="B122" s="62" t="s">
        <v>206</v>
      </c>
      <c r="C122" s="62" t="s">
        <v>207</v>
      </c>
      <c r="D122" s="47">
        <f t="shared" si="17"/>
        <v>2306.7837897689524</v>
      </c>
      <c r="E122" s="52">
        <f t="shared" si="19"/>
        <v>4.37</v>
      </c>
      <c r="F122" s="52">
        <f t="shared" si="21"/>
        <v>1.24</v>
      </c>
      <c r="G122" s="47">
        <f t="shared" si="18"/>
        <v>10080.645161290322</v>
      </c>
      <c r="H122" s="47">
        <f>14000-7000+2000+1000+1000+1000+500</f>
        <v>12500</v>
      </c>
      <c r="I122" s="47">
        <f t="shared" si="22"/>
        <v>12500</v>
      </c>
      <c r="J122" s="48" t="str">
        <f t="shared" si="20"/>
        <v>Cumpărare directă</v>
      </c>
      <c r="K122" s="49">
        <v>41275</v>
      </c>
      <c r="L122" s="49">
        <v>41639</v>
      </c>
      <c r="M122" s="48" t="s">
        <v>19</v>
      </c>
    </row>
    <row r="123" spans="1:13" ht="24">
      <c r="A123" s="48">
        <v>93</v>
      </c>
      <c r="B123" s="62" t="s">
        <v>208</v>
      </c>
      <c r="C123" s="62" t="s">
        <v>209</v>
      </c>
      <c r="D123" s="47">
        <f t="shared" si="17"/>
        <v>15723.038311065178</v>
      </c>
      <c r="E123" s="52">
        <f t="shared" si="19"/>
        <v>4.37</v>
      </c>
      <c r="F123" s="52">
        <f t="shared" si="21"/>
        <v>1.24</v>
      </c>
      <c r="G123" s="47">
        <f t="shared" si="18"/>
        <v>68709.67741935483</v>
      </c>
      <c r="H123" s="47">
        <f>110200-25000</f>
        <v>85200</v>
      </c>
      <c r="I123" s="47">
        <f t="shared" si="22"/>
        <v>85200</v>
      </c>
      <c r="J123" s="48" t="str">
        <f>IF(D123&lt;=15000,"Cumpărare directă",IF(D123&lt;=130000,"Cerere de Oferte","Licitaţie deschisă"))</f>
        <v>Cerere de Oferte</v>
      </c>
      <c r="K123" s="49">
        <v>41275</v>
      </c>
      <c r="L123" s="49">
        <v>41639</v>
      </c>
      <c r="M123" s="48" t="s">
        <v>19</v>
      </c>
    </row>
    <row r="124" spans="1:13" ht="24">
      <c r="A124" s="48">
        <v>94</v>
      </c>
      <c r="B124" s="46" t="s">
        <v>210</v>
      </c>
      <c r="C124" s="43" t="s">
        <v>211</v>
      </c>
      <c r="D124" s="47">
        <f>G124/$B$8</f>
        <v>9227.13515907581</v>
      </c>
      <c r="E124" s="52">
        <f t="shared" si="19"/>
        <v>4.37</v>
      </c>
      <c r="F124" s="52">
        <f t="shared" si="21"/>
        <v>1.24</v>
      </c>
      <c r="G124" s="47">
        <f>H124/$B$9</f>
        <v>40322.58064516129</v>
      </c>
      <c r="H124" s="47">
        <v>50000</v>
      </c>
      <c r="I124" s="47">
        <f t="shared" si="22"/>
        <v>50000</v>
      </c>
      <c r="J124" s="48" t="str">
        <f t="shared" si="20"/>
        <v>Cumpărare directă</v>
      </c>
      <c r="K124" s="49">
        <v>41275</v>
      </c>
      <c r="L124" s="49">
        <v>41639</v>
      </c>
      <c r="M124" s="48" t="s">
        <v>19</v>
      </c>
    </row>
    <row r="125" spans="1:13" ht="24">
      <c r="A125" s="48">
        <v>95</v>
      </c>
      <c r="B125" s="62" t="s">
        <v>212</v>
      </c>
      <c r="C125" s="62" t="s">
        <v>213</v>
      </c>
      <c r="D125" s="47">
        <f>G125/$B$8</f>
        <v>664.3537314534583</v>
      </c>
      <c r="E125" s="52">
        <f t="shared" si="19"/>
        <v>4.37</v>
      </c>
      <c r="F125" s="52">
        <f t="shared" si="21"/>
        <v>1.24</v>
      </c>
      <c r="G125" s="47">
        <f>H125/$B$9</f>
        <v>2903.2258064516127</v>
      </c>
      <c r="H125" s="47">
        <f>1100+2500</f>
        <v>3600</v>
      </c>
      <c r="I125" s="47">
        <f t="shared" si="22"/>
        <v>3600</v>
      </c>
      <c r="J125" s="48" t="str">
        <f t="shared" si="20"/>
        <v>Cumpărare directă</v>
      </c>
      <c r="K125" s="49">
        <v>41275</v>
      </c>
      <c r="L125" s="49">
        <v>41639</v>
      </c>
      <c r="M125" s="48" t="s">
        <v>19</v>
      </c>
    </row>
    <row r="126" spans="1:13" ht="48">
      <c r="A126" s="48">
        <v>96</v>
      </c>
      <c r="B126" s="46" t="s">
        <v>214</v>
      </c>
      <c r="C126" s="43" t="s">
        <v>215</v>
      </c>
      <c r="D126" s="47">
        <f t="shared" si="17"/>
        <v>35063.11360448808</v>
      </c>
      <c r="E126" s="52">
        <f t="shared" si="19"/>
        <v>4.37</v>
      </c>
      <c r="F126" s="52">
        <f t="shared" si="21"/>
        <v>1.24</v>
      </c>
      <c r="G126" s="47">
        <f t="shared" si="18"/>
        <v>153225.8064516129</v>
      </c>
      <c r="H126" s="55">
        <f>250000-60000</f>
        <v>190000</v>
      </c>
      <c r="I126" s="55">
        <f t="shared" si="22"/>
        <v>190000</v>
      </c>
      <c r="J126" s="48" t="s">
        <v>472</v>
      </c>
      <c r="K126" s="49">
        <v>41275</v>
      </c>
      <c r="L126" s="49">
        <v>41639</v>
      </c>
      <c r="M126" s="48" t="s">
        <v>19</v>
      </c>
    </row>
    <row r="127" spans="1:13" ht="24">
      <c r="A127" s="48">
        <v>97</v>
      </c>
      <c r="B127" s="46" t="s">
        <v>216</v>
      </c>
      <c r="C127" s="43" t="s">
        <v>217</v>
      </c>
      <c r="D127" s="47">
        <f t="shared" si="17"/>
        <v>775.079353362368</v>
      </c>
      <c r="E127" s="52">
        <f t="shared" si="19"/>
        <v>4.37</v>
      </c>
      <c r="F127" s="52">
        <f t="shared" si="21"/>
        <v>1.24</v>
      </c>
      <c r="G127" s="47">
        <f t="shared" si="18"/>
        <v>3387.0967741935483</v>
      </c>
      <c r="H127" s="47">
        <v>4200</v>
      </c>
      <c r="I127" s="47">
        <f t="shared" si="22"/>
        <v>4200</v>
      </c>
      <c r="J127" s="48" t="str">
        <f t="shared" si="20"/>
        <v>Cumpărare directă</v>
      </c>
      <c r="K127" s="49">
        <v>41275</v>
      </c>
      <c r="L127" s="49">
        <v>41639</v>
      </c>
      <c r="M127" s="48" t="s">
        <v>19</v>
      </c>
    </row>
    <row r="128" spans="1:13" ht="48">
      <c r="A128" s="48">
        <v>98</v>
      </c>
      <c r="B128" s="46" t="s">
        <v>218</v>
      </c>
      <c r="C128" s="43" t="s">
        <v>219</v>
      </c>
      <c r="D128" s="47">
        <f t="shared" si="17"/>
        <v>46135.67579537905</v>
      </c>
      <c r="E128" s="52">
        <f t="shared" si="19"/>
        <v>4.37</v>
      </c>
      <c r="F128" s="52">
        <f t="shared" si="21"/>
        <v>1.24</v>
      </c>
      <c r="G128" s="47">
        <f t="shared" si="18"/>
        <v>201612.90322580645</v>
      </c>
      <c r="H128" s="47">
        <v>250000</v>
      </c>
      <c r="I128" s="47">
        <f t="shared" si="22"/>
        <v>250000</v>
      </c>
      <c r="J128" s="48" t="s">
        <v>472</v>
      </c>
      <c r="K128" s="49">
        <v>41275</v>
      </c>
      <c r="L128" s="49">
        <v>41639</v>
      </c>
      <c r="M128" s="48" t="s">
        <v>19</v>
      </c>
    </row>
    <row r="129" spans="1:13" ht="24">
      <c r="A129" s="48">
        <v>99</v>
      </c>
      <c r="B129" s="63" t="s">
        <v>220</v>
      </c>
      <c r="C129" s="43" t="s">
        <v>221</v>
      </c>
      <c r="D129" s="47">
        <f t="shared" si="17"/>
        <v>122.16726950616372</v>
      </c>
      <c r="E129" s="52">
        <f t="shared" si="19"/>
        <v>4.37</v>
      </c>
      <c r="F129" s="52">
        <f t="shared" si="21"/>
        <v>1.24</v>
      </c>
      <c r="G129" s="47">
        <f t="shared" si="18"/>
        <v>533.8709677419355</v>
      </c>
      <c r="H129" s="47">
        <f>500+162</f>
        <v>662</v>
      </c>
      <c r="I129" s="47">
        <f t="shared" si="22"/>
        <v>662</v>
      </c>
      <c r="J129" s="48" t="str">
        <f t="shared" si="20"/>
        <v>Cumpărare directă</v>
      </c>
      <c r="K129" s="49">
        <v>41275</v>
      </c>
      <c r="L129" s="49">
        <v>41639</v>
      </c>
      <c r="M129" s="48" t="s">
        <v>19</v>
      </c>
    </row>
    <row r="130" spans="1:13" ht="24">
      <c r="A130" s="48">
        <v>100</v>
      </c>
      <c r="B130" s="46" t="s">
        <v>222</v>
      </c>
      <c r="C130" s="43" t="s">
        <v>223</v>
      </c>
      <c r="D130" s="47">
        <f t="shared" si="17"/>
        <v>553.6281095445486</v>
      </c>
      <c r="E130" s="52">
        <f>G130/D130</f>
        <v>4.37</v>
      </c>
      <c r="F130" s="52">
        <f>H130/G130</f>
        <v>1.24</v>
      </c>
      <c r="G130" s="47">
        <f t="shared" si="18"/>
        <v>2419.3548387096776</v>
      </c>
      <c r="H130" s="47">
        <v>3000</v>
      </c>
      <c r="I130" s="47">
        <f t="shared" si="22"/>
        <v>3000</v>
      </c>
      <c r="J130" s="48" t="str">
        <f t="shared" si="20"/>
        <v>Cumpărare directă</v>
      </c>
      <c r="K130" s="49">
        <v>41275</v>
      </c>
      <c r="L130" s="49">
        <v>41639</v>
      </c>
      <c r="M130" s="48" t="s">
        <v>19</v>
      </c>
    </row>
    <row r="131" spans="1:13" ht="24">
      <c r="A131" s="48">
        <v>101</v>
      </c>
      <c r="B131" s="46" t="s">
        <v>224</v>
      </c>
      <c r="C131" s="43" t="s">
        <v>225</v>
      </c>
      <c r="D131" s="47">
        <f t="shared" si="17"/>
        <v>922.713515907581</v>
      </c>
      <c r="E131" s="52">
        <f t="shared" si="19"/>
        <v>4.37</v>
      </c>
      <c r="F131" s="52">
        <f t="shared" si="21"/>
        <v>1.24</v>
      </c>
      <c r="G131" s="47">
        <f t="shared" si="18"/>
        <v>4032.2580645161293</v>
      </c>
      <c r="H131" s="47">
        <v>5000</v>
      </c>
      <c r="I131" s="47">
        <f t="shared" si="22"/>
        <v>5000</v>
      </c>
      <c r="J131" s="48" t="str">
        <f t="shared" si="20"/>
        <v>Cumpărare directă</v>
      </c>
      <c r="K131" s="49">
        <v>41275</v>
      </c>
      <c r="L131" s="49">
        <v>41639</v>
      </c>
      <c r="M131" s="48" t="s">
        <v>19</v>
      </c>
    </row>
    <row r="132" spans="1:13" ht="24">
      <c r="A132" s="48">
        <v>102</v>
      </c>
      <c r="B132" s="46" t="s">
        <v>465</v>
      </c>
      <c r="C132" s="43" t="s">
        <v>466</v>
      </c>
      <c r="D132" s="47">
        <f t="shared" si="17"/>
        <v>29485.840038384882</v>
      </c>
      <c r="E132" s="52">
        <f t="shared" si="19"/>
        <v>4.37</v>
      </c>
      <c r="F132" s="52">
        <f t="shared" si="21"/>
        <v>1.24</v>
      </c>
      <c r="G132" s="47">
        <f t="shared" si="18"/>
        <v>128853.12096774194</v>
      </c>
      <c r="H132" s="47">
        <f>80000+95000-15222.13</f>
        <v>159777.87</v>
      </c>
      <c r="I132" s="47">
        <f>H132</f>
        <v>159777.87</v>
      </c>
      <c r="J132" s="48" t="str">
        <f t="shared" si="20"/>
        <v>Cerere de Oferte</v>
      </c>
      <c r="K132" s="49">
        <v>41275</v>
      </c>
      <c r="L132" s="49">
        <v>41639</v>
      </c>
      <c r="M132" s="48" t="s">
        <v>19</v>
      </c>
    </row>
    <row r="133" spans="1:13" ht="24">
      <c r="A133" s="48">
        <v>103</v>
      </c>
      <c r="B133" s="46" t="s">
        <v>226</v>
      </c>
      <c r="C133" s="43" t="s">
        <v>227</v>
      </c>
      <c r="D133" s="47">
        <f t="shared" si="17"/>
        <v>18454.27031815162</v>
      </c>
      <c r="E133" s="52">
        <f t="shared" si="19"/>
        <v>4.37</v>
      </c>
      <c r="F133" s="52">
        <f t="shared" si="21"/>
        <v>1.24</v>
      </c>
      <c r="G133" s="47">
        <f t="shared" si="18"/>
        <v>80645.16129032258</v>
      </c>
      <c r="H133" s="47">
        <f>100000-27100-19900+47000</f>
        <v>100000</v>
      </c>
      <c r="I133" s="47">
        <f>H133</f>
        <v>100000</v>
      </c>
      <c r="J133" s="48" t="s">
        <v>228</v>
      </c>
      <c r="K133" s="49">
        <v>41275</v>
      </c>
      <c r="L133" s="49">
        <v>41639</v>
      </c>
      <c r="M133" s="48" t="s">
        <v>19</v>
      </c>
    </row>
    <row r="134" spans="1:13" ht="36">
      <c r="A134" s="48">
        <v>104</v>
      </c>
      <c r="B134" s="51" t="s">
        <v>230</v>
      </c>
      <c r="C134" s="43" t="s">
        <v>231</v>
      </c>
      <c r="D134" s="47">
        <f t="shared" si="17"/>
        <v>36908.54063630324</v>
      </c>
      <c r="E134" s="52">
        <f>G134/D134</f>
        <v>4.37</v>
      </c>
      <c r="F134" s="52">
        <f>H134/G134</f>
        <v>1.24</v>
      </c>
      <c r="G134" s="47">
        <f t="shared" si="18"/>
        <v>161290.32258064515</v>
      </c>
      <c r="H134" s="47">
        <v>200000</v>
      </c>
      <c r="I134" s="47">
        <f t="shared" si="22"/>
        <v>200000</v>
      </c>
      <c r="J134" s="48" t="s">
        <v>480</v>
      </c>
      <c r="K134" s="49">
        <v>41275</v>
      </c>
      <c r="L134" s="49">
        <v>41639</v>
      </c>
      <c r="M134" s="48" t="s">
        <v>19</v>
      </c>
    </row>
    <row r="135" spans="1:13" ht="24">
      <c r="A135" s="48">
        <v>105</v>
      </c>
      <c r="B135" s="46" t="s">
        <v>232</v>
      </c>
      <c r="C135" s="62" t="s">
        <v>233</v>
      </c>
      <c r="D135" s="47">
        <f t="shared" si="17"/>
        <v>1845.427031815162</v>
      </c>
      <c r="E135" s="52">
        <f t="shared" si="19"/>
        <v>4.37</v>
      </c>
      <c r="F135" s="52">
        <f t="shared" si="21"/>
        <v>1.24</v>
      </c>
      <c r="G135" s="47">
        <f t="shared" si="18"/>
        <v>8064.5161290322585</v>
      </c>
      <c r="H135" s="47">
        <f>20000-10000</f>
        <v>10000</v>
      </c>
      <c r="I135" s="47">
        <f t="shared" si="22"/>
        <v>10000</v>
      </c>
      <c r="J135" s="48" t="str">
        <f t="shared" si="20"/>
        <v>Cumpărare directă</v>
      </c>
      <c r="K135" s="49">
        <v>41275</v>
      </c>
      <c r="L135" s="49">
        <v>41639</v>
      </c>
      <c r="M135" s="48" t="s">
        <v>19</v>
      </c>
    </row>
    <row r="136" spans="1:13" ht="24">
      <c r="A136" s="48">
        <v>106</v>
      </c>
      <c r="B136" s="46" t="s">
        <v>462</v>
      </c>
      <c r="C136" s="62" t="s">
        <v>461</v>
      </c>
      <c r="D136" s="47">
        <f>G136/$B$8</f>
        <v>14763.416254521297</v>
      </c>
      <c r="E136" s="52">
        <f>G136/D136</f>
        <v>4.37</v>
      </c>
      <c r="F136" s="52">
        <f>H136/G136</f>
        <v>1.24</v>
      </c>
      <c r="G136" s="47">
        <f>H136/$B$9</f>
        <v>64516.12903225807</v>
      </c>
      <c r="H136" s="47">
        <f>65550-40000-722.13-50+40000+15222.13</f>
        <v>80000</v>
      </c>
      <c r="I136" s="47">
        <f>H136</f>
        <v>80000</v>
      </c>
      <c r="J136" s="48" t="str">
        <f t="shared" si="20"/>
        <v>Cumpărare directă</v>
      </c>
      <c r="K136" s="49">
        <v>41275</v>
      </c>
      <c r="L136" s="49">
        <v>41639</v>
      </c>
      <c r="M136" s="48" t="s">
        <v>19</v>
      </c>
    </row>
    <row r="137" spans="1:13" ht="24">
      <c r="A137" s="123">
        <v>107</v>
      </c>
      <c r="B137" s="46" t="s">
        <v>491</v>
      </c>
      <c r="C137" s="62" t="s">
        <v>492</v>
      </c>
      <c r="D137" s="47">
        <f>G137/$B$8</f>
        <v>1199.5275706798552</v>
      </c>
      <c r="E137" s="52">
        <f>G137/D137</f>
        <v>4.37</v>
      </c>
      <c r="F137" s="52">
        <f>H137/G137</f>
        <v>1.24</v>
      </c>
      <c r="G137" s="47">
        <f>H137/$B$9</f>
        <v>5241.935483870968</v>
      </c>
      <c r="H137" s="47">
        <v>6500</v>
      </c>
      <c r="I137" s="47">
        <f>H137</f>
        <v>6500</v>
      </c>
      <c r="J137" s="48" t="str">
        <f>IF(D137&lt;=15000,"Cumpărare directă",IF(D137&lt;=130000,"Cerere de Oferte","Licitaţie deschisă"))</f>
        <v>Cumpărare directă</v>
      </c>
      <c r="K137" s="49">
        <v>41275</v>
      </c>
      <c r="L137" s="49">
        <v>41639</v>
      </c>
      <c r="M137" s="48" t="s">
        <v>19</v>
      </c>
    </row>
    <row r="138" spans="1:13" ht="24">
      <c r="A138" s="123">
        <v>108</v>
      </c>
      <c r="B138" s="46" t="s">
        <v>493</v>
      </c>
      <c r="C138" s="62" t="s">
        <v>494</v>
      </c>
      <c r="D138" s="47">
        <f>G138/$B$8</f>
        <v>830.4421643168229</v>
      </c>
      <c r="E138" s="52">
        <f>G138/D138</f>
        <v>4.37</v>
      </c>
      <c r="F138" s="52">
        <f>H138/G138</f>
        <v>1.24</v>
      </c>
      <c r="G138" s="47">
        <f>H138/$B$9</f>
        <v>3629.032258064516</v>
      </c>
      <c r="H138" s="47">
        <v>4500</v>
      </c>
      <c r="I138" s="47">
        <f>H138</f>
        <v>4500</v>
      </c>
      <c r="J138" s="48" t="str">
        <f>IF(D138&lt;=15000,"Cumpărare directă",IF(D138&lt;=130000,"Cerere de Oferte","Licitaţie deschisă"))</f>
        <v>Cumpărare directă</v>
      </c>
      <c r="K138" s="49">
        <v>41275</v>
      </c>
      <c r="L138" s="49">
        <v>41639</v>
      </c>
      <c r="M138" s="48" t="s">
        <v>19</v>
      </c>
    </row>
    <row r="139" spans="1:13" ht="12">
      <c r="A139" s="48"/>
      <c r="B139" s="58" t="s">
        <v>234</v>
      </c>
      <c r="C139" s="43"/>
      <c r="D139" s="109">
        <f>SUM(D140:D171)</f>
        <v>8405.92012991806</v>
      </c>
      <c r="E139" s="52">
        <f t="shared" si="19"/>
        <v>4.370000000000002</v>
      </c>
      <c r="F139" s="52">
        <f t="shared" si="21"/>
        <v>1.2399999999999998</v>
      </c>
      <c r="G139" s="109">
        <f>SUM(G140:G171)</f>
        <v>36733.87096774194</v>
      </c>
      <c r="H139" s="109">
        <f>SUM(H140:H171)</f>
        <v>45550</v>
      </c>
      <c r="I139" s="109">
        <f t="shared" si="22"/>
        <v>45550</v>
      </c>
      <c r="J139" s="34"/>
      <c r="K139" s="49"/>
      <c r="L139" s="54"/>
      <c r="M139" s="54"/>
    </row>
    <row r="140" spans="1:13" ht="24">
      <c r="A140" s="48">
        <v>109</v>
      </c>
      <c r="B140" s="65" t="s">
        <v>235</v>
      </c>
      <c r="C140" s="43" t="s">
        <v>236</v>
      </c>
      <c r="D140" s="47">
        <f>G140/$B$8</f>
        <v>18.454270318151618</v>
      </c>
      <c r="E140" s="52">
        <f t="shared" si="19"/>
        <v>4.37</v>
      </c>
      <c r="F140" s="52">
        <f t="shared" si="21"/>
        <v>1.24</v>
      </c>
      <c r="G140" s="47">
        <f>H140/$B$9</f>
        <v>80.64516129032258</v>
      </c>
      <c r="H140" s="47">
        <v>100</v>
      </c>
      <c r="I140" s="47">
        <f t="shared" si="22"/>
        <v>100</v>
      </c>
      <c r="J140" s="48" t="str">
        <f>IF(D140&lt;=15000,"Cumpărare directă",IF(D140&lt;=130000,"Cerere de Oferte","Licitaţie deschisă"))</f>
        <v>Cumpărare directă</v>
      </c>
      <c r="K140" s="49">
        <v>41275</v>
      </c>
      <c r="L140" s="49">
        <v>41639</v>
      </c>
      <c r="M140" s="48" t="s">
        <v>19</v>
      </c>
    </row>
    <row r="141" spans="1:13" ht="24">
      <c r="A141" s="48">
        <v>110</v>
      </c>
      <c r="B141" s="63" t="s">
        <v>237</v>
      </c>
      <c r="C141" s="43" t="s">
        <v>238</v>
      </c>
      <c r="D141" s="47">
        <f t="shared" si="17"/>
        <v>175.31556802244037</v>
      </c>
      <c r="E141" s="52">
        <f t="shared" si="19"/>
        <v>4.37</v>
      </c>
      <c r="F141" s="52">
        <f t="shared" si="21"/>
        <v>1.24</v>
      </c>
      <c r="G141" s="47">
        <f aca="true" t="shared" si="23" ref="G141:G171">H141/$B$9</f>
        <v>766.1290322580645</v>
      </c>
      <c r="H141" s="47">
        <f>800+150</f>
        <v>950</v>
      </c>
      <c r="I141" s="47">
        <f t="shared" si="22"/>
        <v>950</v>
      </c>
      <c r="J141" s="48" t="str">
        <f aca="true" t="shared" si="24" ref="J141:J173">IF(D141&lt;=15000,"Cumpărare directă",IF(D141&lt;=130000,"Cerere de Oferte","Licitaţie deschisă"))</f>
        <v>Cumpărare directă</v>
      </c>
      <c r="K141" s="49">
        <v>41275</v>
      </c>
      <c r="L141" s="49">
        <v>41639</v>
      </c>
      <c r="M141" s="48" t="s">
        <v>19</v>
      </c>
    </row>
    <row r="142" spans="1:13" ht="24">
      <c r="A142" s="48">
        <v>111</v>
      </c>
      <c r="B142" s="63" t="s">
        <v>239</v>
      </c>
      <c r="C142" s="43" t="s">
        <v>240</v>
      </c>
      <c r="D142" s="47">
        <f t="shared" si="17"/>
        <v>1845.427031815162</v>
      </c>
      <c r="E142" s="52">
        <f t="shared" si="19"/>
        <v>4.37</v>
      </c>
      <c r="F142" s="52">
        <f t="shared" si="21"/>
        <v>1.24</v>
      </c>
      <c r="G142" s="47">
        <f t="shared" si="23"/>
        <v>8064.5161290322585</v>
      </c>
      <c r="H142" s="47">
        <v>10000</v>
      </c>
      <c r="I142" s="47">
        <f t="shared" si="22"/>
        <v>10000</v>
      </c>
      <c r="J142" s="48" t="str">
        <f t="shared" si="24"/>
        <v>Cumpărare directă</v>
      </c>
      <c r="K142" s="49">
        <v>41275</v>
      </c>
      <c r="L142" s="49">
        <v>41639</v>
      </c>
      <c r="M142" s="48" t="s">
        <v>19</v>
      </c>
    </row>
    <row r="143" spans="1:13" ht="24">
      <c r="A143" s="48">
        <v>112</v>
      </c>
      <c r="B143" s="63" t="s">
        <v>241</v>
      </c>
      <c r="C143" s="43" t="s">
        <v>242</v>
      </c>
      <c r="D143" s="47">
        <f t="shared" si="17"/>
        <v>156.86129770428877</v>
      </c>
      <c r="E143" s="52">
        <f t="shared" si="19"/>
        <v>4.37</v>
      </c>
      <c r="F143" s="52">
        <f t="shared" si="21"/>
        <v>1.24</v>
      </c>
      <c r="G143" s="47">
        <f t="shared" si="23"/>
        <v>685.483870967742</v>
      </c>
      <c r="H143" s="47">
        <f>500+200+150</f>
        <v>850</v>
      </c>
      <c r="I143" s="47">
        <f t="shared" si="22"/>
        <v>850</v>
      </c>
      <c r="J143" s="48" t="str">
        <f t="shared" si="24"/>
        <v>Cumpărare directă</v>
      </c>
      <c r="K143" s="49">
        <v>41275</v>
      </c>
      <c r="L143" s="49">
        <v>41639</v>
      </c>
      <c r="M143" s="48" t="s">
        <v>19</v>
      </c>
    </row>
    <row r="144" spans="1:13" ht="36">
      <c r="A144" s="48">
        <v>113</v>
      </c>
      <c r="B144" s="63" t="s">
        <v>243</v>
      </c>
      <c r="C144" s="43" t="s">
        <v>244</v>
      </c>
      <c r="D144" s="47">
        <f t="shared" si="17"/>
        <v>92.2713515907581</v>
      </c>
      <c r="E144" s="52">
        <f t="shared" si="19"/>
        <v>4.37</v>
      </c>
      <c r="F144" s="52">
        <f t="shared" si="21"/>
        <v>1.24</v>
      </c>
      <c r="G144" s="47">
        <f t="shared" si="23"/>
        <v>403.2258064516129</v>
      </c>
      <c r="H144" s="47">
        <f>500+200-200</f>
        <v>500</v>
      </c>
      <c r="I144" s="47">
        <f t="shared" si="22"/>
        <v>500</v>
      </c>
      <c r="J144" s="48" t="str">
        <f t="shared" si="24"/>
        <v>Cumpărare directă</v>
      </c>
      <c r="K144" s="49">
        <v>41275</v>
      </c>
      <c r="L144" s="49">
        <v>41639</v>
      </c>
      <c r="M144" s="48" t="s">
        <v>19</v>
      </c>
    </row>
    <row r="145" spans="1:13" ht="24">
      <c r="A145" s="48">
        <v>114</v>
      </c>
      <c r="B145" s="63" t="s">
        <v>245</v>
      </c>
      <c r="C145" s="43" t="s">
        <v>246</v>
      </c>
      <c r="D145" s="47">
        <f t="shared" si="17"/>
        <v>184.5427031815162</v>
      </c>
      <c r="E145" s="52">
        <f t="shared" si="19"/>
        <v>4.37</v>
      </c>
      <c r="F145" s="52">
        <f t="shared" si="21"/>
        <v>1.24</v>
      </c>
      <c r="G145" s="47">
        <f t="shared" si="23"/>
        <v>806.4516129032259</v>
      </c>
      <c r="H145" s="47">
        <v>1000</v>
      </c>
      <c r="I145" s="47">
        <f t="shared" si="22"/>
        <v>1000</v>
      </c>
      <c r="J145" s="48" t="str">
        <f t="shared" si="24"/>
        <v>Cumpărare directă</v>
      </c>
      <c r="K145" s="49">
        <v>41275</v>
      </c>
      <c r="L145" s="49">
        <v>41639</v>
      </c>
      <c r="M145" s="48" t="s">
        <v>19</v>
      </c>
    </row>
    <row r="146" spans="1:13" ht="24">
      <c r="A146" s="48">
        <v>115</v>
      </c>
      <c r="B146" s="63" t="s">
        <v>247</v>
      </c>
      <c r="C146" s="43" t="s">
        <v>248</v>
      </c>
      <c r="D146" s="47">
        <f t="shared" si="17"/>
        <v>129.17989222706134</v>
      </c>
      <c r="E146" s="52">
        <f t="shared" si="19"/>
        <v>4.37</v>
      </c>
      <c r="F146" s="52">
        <f t="shared" si="21"/>
        <v>1.24</v>
      </c>
      <c r="G146" s="47">
        <f t="shared" si="23"/>
        <v>564.516129032258</v>
      </c>
      <c r="H146" s="47">
        <f>1000-300</f>
        <v>700</v>
      </c>
      <c r="I146" s="47">
        <f t="shared" si="22"/>
        <v>700</v>
      </c>
      <c r="J146" s="48" t="str">
        <f t="shared" si="24"/>
        <v>Cumpărare directă</v>
      </c>
      <c r="K146" s="49">
        <v>41275</v>
      </c>
      <c r="L146" s="49">
        <v>41639</v>
      </c>
      <c r="M146" s="48" t="s">
        <v>19</v>
      </c>
    </row>
    <row r="147" spans="1:13" ht="24">
      <c r="A147" s="48">
        <v>116</v>
      </c>
      <c r="B147" s="63" t="s">
        <v>249</v>
      </c>
      <c r="C147" s="43" t="s">
        <v>250</v>
      </c>
      <c r="D147" s="47">
        <f t="shared" si="17"/>
        <v>129.17989222706134</v>
      </c>
      <c r="E147" s="52">
        <f t="shared" si="19"/>
        <v>4.37</v>
      </c>
      <c r="F147" s="52">
        <f t="shared" si="21"/>
        <v>1.24</v>
      </c>
      <c r="G147" s="47">
        <f t="shared" si="23"/>
        <v>564.516129032258</v>
      </c>
      <c r="H147" s="47">
        <f>500+200</f>
        <v>700</v>
      </c>
      <c r="I147" s="47">
        <f t="shared" si="22"/>
        <v>700</v>
      </c>
      <c r="J147" s="48" t="str">
        <f t="shared" si="24"/>
        <v>Cumpărare directă</v>
      </c>
      <c r="K147" s="49">
        <v>41275</v>
      </c>
      <c r="L147" s="49">
        <v>41639</v>
      </c>
      <c r="M147" s="48" t="s">
        <v>19</v>
      </c>
    </row>
    <row r="148" spans="1:13" ht="24">
      <c r="A148" s="48">
        <v>117</v>
      </c>
      <c r="B148" s="65" t="s">
        <v>251</v>
      </c>
      <c r="C148" s="43" t="s">
        <v>252</v>
      </c>
      <c r="D148" s="47">
        <f t="shared" si="17"/>
        <v>36.908540636303236</v>
      </c>
      <c r="E148" s="52">
        <f t="shared" si="19"/>
        <v>4.37</v>
      </c>
      <c r="F148" s="52">
        <f t="shared" si="21"/>
        <v>1.24</v>
      </c>
      <c r="G148" s="47">
        <f t="shared" si="23"/>
        <v>161.29032258064515</v>
      </c>
      <c r="H148" s="47">
        <v>200</v>
      </c>
      <c r="I148" s="47">
        <f t="shared" si="22"/>
        <v>200</v>
      </c>
      <c r="J148" s="48" t="str">
        <f t="shared" si="24"/>
        <v>Cumpărare directă</v>
      </c>
      <c r="K148" s="49">
        <v>41275</v>
      </c>
      <c r="L148" s="49">
        <v>41639</v>
      </c>
      <c r="M148" s="48" t="s">
        <v>19</v>
      </c>
    </row>
    <row r="149" spans="1:13" ht="24">
      <c r="A149" s="48">
        <v>118</v>
      </c>
      <c r="B149" s="65" t="s">
        <v>253</v>
      </c>
      <c r="C149" s="43" t="s">
        <v>254</v>
      </c>
      <c r="D149" s="47">
        <f t="shared" si="17"/>
        <v>36.908540636303236</v>
      </c>
      <c r="E149" s="52">
        <f t="shared" si="19"/>
        <v>4.37</v>
      </c>
      <c r="F149" s="52">
        <f t="shared" si="21"/>
        <v>1.24</v>
      </c>
      <c r="G149" s="47">
        <f t="shared" si="23"/>
        <v>161.29032258064515</v>
      </c>
      <c r="H149" s="47">
        <v>200</v>
      </c>
      <c r="I149" s="47">
        <f t="shared" si="22"/>
        <v>200</v>
      </c>
      <c r="J149" s="48" t="str">
        <f t="shared" si="24"/>
        <v>Cumpărare directă</v>
      </c>
      <c r="K149" s="49">
        <v>41275</v>
      </c>
      <c r="L149" s="49">
        <v>41639</v>
      </c>
      <c r="M149" s="48" t="s">
        <v>19</v>
      </c>
    </row>
    <row r="150" spans="1:13" ht="24">
      <c r="A150" s="48">
        <v>119</v>
      </c>
      <c r="B150" s="65" t="s">
        <v>255</v>
      </c>
      <c r="C150" s="43" t="s">
        <v>256</v>
      </c>
      <c r="D150" s="47">
        <f t="shared" si="17"/>
        <v>73.81708127260647</v>
      </c>
      <c r="E150" s="52">
        <f t="shared" si="19"/>
        <v>4.37</v>
      </c>
      <c r="F150" s="52">
        <f t="shared" si="21"/>
        <v>1.24</v>
      </c>
      <c r="G150" s="47">
        <f t="shared" si="23"/>
        <v>322.5806451612903</v>
      </c>
      <c r="H150" s="47">
        <v>400</v>
      </c>
      <c r="I150" s="47">
        <f t="shared" si="22"/>
        <v>400</v>
      </c>
      <c r="J150" s="48" t="str">
        <f t="shared" si="24"/>
        <v>Cumpărare directă</v>
      </c>
      <c r="K150" s="49">
        <v>41275</v>
      </c>
      <c r="L150" s="49">
        <v>41639</v>
      </c>
      <c r="M150" s="48" t="s">
        <v>19</v>
      </c>
    </row>
    <row r="151" spans="1:13" ht="24">
      <c r="A151" s="48">
        <v>120</v>
      </c>
      <c r="B151" s="65" t="s">
        <v>257</v>
      </c>
      <c r="C151" s="43" t="s">
        <v>258</v>
      </c>
      <c r="D151" s="47">
        <f t="shared" si="17"/>
        <v>424.44821731748726</v>
      </c>
      <c r="E151" s="52">
        <f t="shared" si="19"/>
        <v>4.37</v>
      </c>
      <c r="F151" s="52">
        <f t="shared" si="21"/>
        <v>1.24</v>
      </c>
      <c r="G151" s="47">
        <f t="shared" si="23"/>
        <v>1854.8387096774193</v>
      </c>
      <c r="H151" s="47">
        <f>800+1500</f>
        <v>2300</v>
      </c>
      <c r="I151" s="47">
        <f t="shared" si="22"/>
        <v>2300</v>
      </c>
      <c r="J151" s="48" t="str">
        <f>IF(D151&lt;=15000,"Cumpărare directă",IF(D151&lt;=130000,"Cerere de Oferte","Licitaţie deschisă"))</f>
        <v>Cumpărare directă</v>
      </c>
      <c r="K151" s="49">
        <v>41275</v>
      </c>
      <c r="L151" s="49">
        <v>41639</v>
      </c>
      <c r="M151" s="48" t="s">
        <v>19</v>
      </c>
    </row>
    <row r="152" spans="1:13" ht="24">
      <c r="A152" s="48">
        <v>121</v>
      </c>
      <c r="B152" s="66" t="s">
        <v>259</v>
      </c>
      <c r="C152" s="43" t="s">
        <v>260</v>
      </c>
      <c r="D152" s="47">
        <f t="shared" si="17"/>
        <v>36.908540636303236</v>
      </c>
      <c r="E152" s="52">
        <f t="shared" si="19"/>
        <v>4.37</v>
      </c>
      <c r="F152" s="52">
        <f t="shared" si="21"/>
        <v>1.24</v>
      </c>
      <c r="G152" s="47">
        <f t="shared" si="23"/>
        <v>161.29032258064515</v>
      </c>
      <c r="H152" s="47">
        <f>100+100</f>
        <v>200</v>
      </c>
      <c r="I152" s="47">
        <f t="shared" si="22"/>
        <v>200</v>
      </c>
      <c r="J152" s="48" t="str">
        <f t="shared" si="24"/>
        <v>Cumpărare directă</v>
      </c>
      <c r="K152" s="49">
        <v>41275</v>
      </c>
      <c r="L152" s="49">
        <v>41639</v>
      </c>
      <c r="M152" s="48" t="s">
        <v>19</v>
      </c>
    </row>
    <row r="153" spans="1:13" ht="24">
      <c r="A153" s="48">
        <v>122</v>
      </c>
      <c r="B153" s="66" t="s">
        <v>261</v>
      </c>
      <c r="C153" s="43" t="s">
        <v>262</v>
      </c>
      <c r="D153" s="47">
        <f t="shared" si="17"/>
        <v>18.454270318151618</v>
      </c>
      <c r="E153" s="52">
        <f t="shared" si="19"/>
        <v>4.37</v>
      </c>
      <c r="F153" s="52">
        <f t="shared" si="21"/>
        <v>1.24</v>
      </c>
      <c r="G153" s="47">
        <f t="shared" si="23"/>
        <v>80.64516129032258</v>
      </c>
      <c r="H153" s="47">
        <v>100</v>
      </c>
      <c r="I153" s="47">
        <f t="shared" si="22"/>
        <v>100</v>
      </c>
      <c r="J153" s="48" t="str">
        <f t="shared" si="24"/>
        <v>Cumpărare directă</v>
      </c>
      <c r="K153" s="49">
        <v>41275</v>
      </c>
      <c r="L153" s="49">
        <v>41639</v>
      </c>
      <c r="M153" s="48" t="s">
        <v>19</v>
      </c>
    </row>
    <row r="154" spans="1:13" ht="24">
      <c r="A154" s="48">
        <v>123</v>
      </c>
      <c r="B154" s="50" t="s">
        <v>263</v>
      </c>
      <c r="C154" s="43" t="s">
        <v>264</v>
      </c>
      <c r="D154" s="47">
        <f t="shared" si="17"/>
        <v>18.454270318151618</v>
      </c>
      <c r="E154" s="52">
        <f t="shared" si="19"/>
        <v>4.37</v>
      </c>
      <c r="F154" s="52">
        <f t="shared" si="21"/>
        <v>1.24</v>
      </c>
      <c r="G154" s="47">
        <f t="shared" si="23"/>
        <v>80.64516129032258</v>
      </c>
      <c r="H154" s="47">
        <v>100</v>
      </c>
      <c r="I154" s="47">
        <f t="shared" si="22"/>
        <v>100</v>
      </c>
      <c r="J154" s="48" t="str">
        <f t="shared" si="24"/>
        <v>Cumpărare directă</v>
      </c>
      <c r="K154" s="49">
        <v>41275</v>
      </c>
      <c r="L154" s="49">
        <v>41639</v>
      </c>
      <c r="M154" s="48" t="s">
        <v>19</v>
      </c>
    </row>
    <row r="155" spans="1:13" ht="24">
      <c r="A155" s="48">
        <v>124</v>
      </c>
      <c r="B155" s="50" t="s">
        <v>265</v>
      </c>
      <c r="C155" s="43" t="s">
        <v>266</v>
      </c>
      <c r="D155" s="47">
        <f t="shared" si="17"/>
        <v>92.2713515907581</v>
      </c>
      <c r="E155" s="52">
        <f t="shared" si="19"/>
        <v>4.37</v>
      </c>
      <c r="F155" s="52">
        <f t="shared" si="21"/>
        <v>1.24</v>
      </c>
      <c r="G155" s="47">
        <f t="shared" si="23"/>
        <v>403.2258064516129</v>
      </c>
      <c r="H155" s="47">
        <v>500</v>
      </c>
      <c r="I155" s="47">
        <f t="shared" si="22"/>
        <v>500</v>
      </c>
      <c r="J155" s="48" t="str">
        <f t="shared" si="24"/>
        <v>Cumpărare directă</v>
      </c>
      <c r="K155" s="49">
        <v>41275</v>
      </c>
      <c r="L155" s="49">
        <v>41639</v>
      </c>
      <c r="M155" s="48" t="s">
        <v>19</v>
      </c>
    </row>
    <row r="156" spans="1:13" ht="24">
      <c r="A156" s="48">
        <v>125</v>
      </c>
      <c r="B156" s="66" t="s">
        <v>267</v>
      </c>
      <c r="C156" s="43" t="s">
        <v>268</v>
      </c>
      <c r="D156" s="47">
        <f t="shared" si="17"/>
        <v>184.5427031815162</v>
      </c>
      <c r="E156" s="52">
        <f t="shared" si="19"/>
        <v>4.37</v>
      </c>
      <c r="F156" s="52">
        <f t="shared" si="21"/>
        <v>1.24</v>
      </c>
      <c r="G156" s="47">
        <f t="shared" si="23"/>
        <v>806.4516129032259</v>
      </c>
      <c r="H156" s="47">
        <v>1000</v>
      </c>
      <c r="I156" s="47">
        <f t="shared" si="22"/>
        <v>1000</v>
      </c>
      <c r="J156" s="48" t="str">
        <f t="shared" si="24"/>
        <v>Cumpărare directă</v>
      </c>
      <c r="K156" s="49">
        <v>41275</v>
      </c>
      <c r="L156" s="49">
        <v>41639</v>
      </c>
      <c r="M156" s="48" t="s">
        <v>19</v>
      </c>
    </row>
    <row r="157" spans="1:13" ht="24">
      <c r="A157" s="48">
        <v>126</v>
      </c>
      <c r="B157" s="46" t="s">
        <v>269</v>
      </c>
      <c r="C157" s="43" t="s">
        <v>270</v>
      </c>
      <c r="D157" s="47">
        <f t="shared" si="17"/>
        <v>738.1708127260648</v>
      </c>
      <c r="E157" s="52">
        <f t="shared" si="19"/>
        <v>4.37</v>
      </c>
      <c r="F157" s="52">
        <f t="shared" si="21"/>
        <v>1.24</v>
      </c>
      <c r="G157" s="47">
        <f t="shared" si="23"/>
        <v>3225.8064516129034</v>
      </c>
      <c r="H157" s="47">
        <v>4000</v>
      </c>
      <c r="I157" s="47">
        <f t="shared" si="22"/>
        <v>4000</v>
      </c>
      <c r="J157" s="48" t="str">
        <f t="shared" si="24"/>
        <v>Cumpărare directă</v>
      </c>
      <c r="K157" s="49">
        <v>41275</v>
      </c>
      <c r="L157" s="49">
        <v>41639</v>
      </c>
      <c r="M157" s="48" t="s">
        <v>19</v>
      </c>
    </row>
    <row r="158" spans="1:13" ht="24">
      <c r="A158" s="48">
        <v>127</v>
      </c>
      <c r="B158" s="63" t="s">
        <v>271</v>
      </c>
      <c r="C158" s="43" t="s">
        <v>272</v>
      </c>
      <c r="D158" s="47">
        <f t="shared" si="17"/>
        <v>184.5427031815162</v>
      </c>
      <c r="E158" s="52">
        <f t="shared" si="19"/>
        <v>4.37</v>
      </c>
      <c r="F158" s="52">
        <f t="shared" si="21"/>
        <v>1.24</v>
      </c>
      <c r="G158" s="47">
        <f t="shared" si="23"/>
        <v>806.4516129032259</v>
      </c>
      <c r="H158" s="47">
        <f>500+500</f>
        <v>1000</v>
      </c>
      <c r="I158" s="47">
        <f t="shared" si="22"/>
        <v>1000</v>
      </c>
      <c r="J158" s="48" t="str">
        <f>IF(D158&lt;=15000,"Cumpărare directă",IF(D158&lt;=130000,"Cerere de Oferte","Licitaţie deschisă"))</f>
        <v>Cumpărare directă</v>
      </c>
      <c r="K158" s="49">
        <v>41275</v>
      </c>
      <c r="L158" s="49">
        <v>41639</v>
      </c>
      <c r="M158" s="48" t="s">
        <v>19</v>
      </c>
    </row>
    <row r="159" spans="1:13" ht="24">
      <c r="A159" s="48">
        <v>128</v>
      </c>
      <c r="B159" s="63" t="s">
        <v>273</v>
      </c>
      <c r="C159" s="43" t="s">
        <v>274</v>
      </c>
      <c r="D159" s="47">
        <f t="shared" si="17"/>
        <v>369.0854063630324</v>
      </c>
      <c r="E159" s="52">
        <f t="shared" si="19"/>
        <v>4.37</v>
      </c>
      <c r="F159" s="52">
        <f t="shared" si="21"/>
        <v>1.24</v>
      </c>
      <c r="G159" s="47">
        <f t="shared" si="23"/>
        <v>1612.9032258064517</v>
      </c>
      <c r="H159" s="47">
        <v>2000</v>
      </c>
      <c r="I159" s="47">
        <f t="shared" si="22"/>
        <v>2000</v>
      </c>
      <c r="J159" s="48" t="str">
        <f t="shared" si="24"/>
        <v>Cumpărare directă</v>
      </c>
      <c r="K159" s="49">
        <v>41275</v>
      </c>
      <c r="L159" s="49">
        <v>41639</v>
      </c>
      <c r="M159" s="48" t="s">
        <v>19</v>
      </c>
    </row>
    <row r="160" spans="1:13" ht="24">
      <c r="A160" s="48">
        <v>129</v>
      </c>
      <c r="B160" s="46" t="s">
        <v>275</v>
      </c>
      <c r="C160" s="43" t="s">
        <v>276</v>
      </c>
      <c r="D160" s="47">
        <f t="shared" si="17"/>
        <v>138.40702738613714</v>
      </c>
      <c r="E160" s="52">
        <f t="shared" si="19"/>
        <v>4.37</v>
      </c>
      <c r="F160" s="52">
        <f t="shared" si="21"/>
        <v>1.24</v>
      </c>
      <c r="G160" s="47">
        <f t="shared" si="23"/>
        <v>604.8387096774194</v>
      </c>
      <c r="H160" s="47">
        <f>200+200+300-400+450</f>
        <v>750</v>
      </c>
      <c r="I160" s="47">
        <f t="shared" si="22"/>
        <v>750</v>
      </c>
      <c r="J160" s="48" t="str">
        <f t="shared" si="24"/>
        <v>Cumpărare directă</v>
      </c>
      <c r="K160" s="49">
        <v>41275</v>
      </c>
      <c r="L160" s="49">
        <v>41639</v>
      </c>
      <c r="M160" s="48" t="s">
        <v>19</v>
      </c>
    </row>
    <row r="161" spans="1:13" ht="15.75" customHeight="1">
      <c r="A161" s="48">
        <v>130</v>
      </c>
      <c r="B161" s="46" t="s">
        <v>277</v>
      </c>
      <c r="C161" s="43" t="s">
        <v>278</v>
      </c>
      <c r="D161" s="47">
        <f t="shared" si="17"/>
        <v>276.8140547722743</v>
      </c>
      <c r="E161" s="52">
        <f t="shared" si="19"/>
        <v>4.37</v>
      </c>
      <c r="F161" s="52">
        <f t="shared" si="21"/>
        <v>1.24</v>
      </c>
      <c r="G161" s="47">
        <f t="shared" si="23"/>
        <v>1209.6774193548388</v>
      </c>
      <c r="H161" s="47">
        <v>1500</v>
      </c>
      <c r="I161" s="47">
        <f t="shared" si="22"/>
        <v>1500</v>
      </c>
      <c r="J161" s="48" t="str">
        <f t="shared" si="24"/>
        <v>Cumpărare directă</v>
      </c>
      <c r="K161" s="49">
        <v>41275</v>
      </c>
      <c r="L161" s="49">
        <v>41639</v>
      </c>
      <c r="M161" s="48" t="s">
        <v>19</v>
      </c>
    </row>
    <row r="162" spans="1:13" ht="24">
      <c r="A162" s="48">
        <v>131</v>
      </c>
      <c r="B162" s="63" t="s">
        <v>279</v>
      </c>
      <c r="C162" s="43" t="s">
        <v>280</v>
      </c>
      <c r="D162" s="47">
        <f t="shared" si="17"/>
        <v>184.5427031815162</v>
      </c>
      <c r="E162" s="52">
        <f t="shared" si="19"/>
        <v>4.37</v>
      </c>
      <c r="F162" s="52">
        <f t="shared" si="21"/>
        <v>1.24</v>
      </c>
      <c r="G162" s="47">
        <f t="shared" si="23"/>
        <v>806.4516129032259</v>
      </c>
      <c r="H162" s="47">
        <v>1000</v>
      </c>
      <c r="I162" s="47">
        <f t="shared" si="22"/>
        <v>1000</v>
      </c>
      <c r="J162" s="48" t="str">
        <f t="shared" si="24"/>
        <v>Cumpărare directă</v>
      </c>
      <c r="K162" s="49">
        <v>41275</v>
      </c>
      <c r="L162" s="49">
        <v>41639</v>
      </c>
      <c r="M162" s="48" t="s">
        <v>19</v>
      </c>
    </row>
    <row r="163" spans="1:13" ht="24">
      <c r="A163" s="48">
        <v>132</v>
      </c>
      <c r="B163" s="63" t="s">
        <v>281</v>
      </c>
      <c r="C163" s="43" t="s">
        <v>282</v>
      </c>
      <c r="D163" s="47">
        <f t="shared" si="17"/>
        <v>184.5427031815162</v>
      </c>
      <c r="E163" s="52">
        <f t="shared" si="19"/>
        <v>4.37</v>
      </c>
      <c r="F163" s="52">
        <f t="shared" si="21"/>
        <v>1.24</v>
      </c>
      <c r="G163" s="47">
        <f t="shared" si="23"/>
        <v>806.4516129032259</v>
      </c>
      <c r="H163" s="47">
        <v>1000</v>
      </c>
      <c r="I163" s="47">
        <f t="shared" si="22"/>
        <v>1000</v>
      </c>
      <c r="J163" s="48" t="str">
        <f t="shared" si="24"/>
        <v>Cumpărare directă</v>
      </c>
      <c r="K163" s="49">
        <v>41275</v>
      </c>
      <c r="L163" s="49">
        <v>41639</v>
      </c>
      <c r="M163" s="48" t="s">
        <v>19</v>
      </c>
    </row>
    <row r="164" spans="1:13" ht="24">
      <c r="A164" s="48">
        <v>133</v>
      </c>
      <c r="B164" s="65" t="s">
        <v>283</v>
      </c>
      <c r="C164" s="43" t="s">
        <v>282</v>
      </c>
      <c r="D164" s="47">
        <f t="shared" si="17"/>
        <v>184.5427031815162</v>
      </c>
      <c r="E164" s="52">
        <f t="shared" si="19"/>
        <v>4.37</v>
      </c>
      <c r="F164" s="52">
        <f t="shared" si="21"/>
        <v>1.24</v>
      </c>
      <c r="G164" s="47">
        <f t="shared" si="23"/>
        <v>806.4516129032259</v>
      </c>
      <c r="H164" s="47">
        <v>1000</v>
      </c>
      <c r="I164" s="47">
        <f t="shared" si="22"/>
        <v>1000</v>
      </c>
      <c r="J164" s="48" t="str">
        <f>IF(D164&lt;=15000,"Cumpărare directă",IF(D164&lt;=130000,"Cerere de Oferte","Licitaţie deschisă"))</f>
        <v>Cumpărare directă</v>
      </c>
      <c r="K164" s="49">
        <v>41275</v>
      </c>
      <c r="L164" s="49">
        <v>41639</v>
      </c>
      <c r="M164" s="48" t="s">
        <v>19</v>
      </c>
    </row>
    <row r="165" spans="1:13" ht="24">
      <c r="A165" s="48">
        <v>134</v>
      </c>
      <c r="B165" s="65" t="s">
        <v>284</v>
      </c>
      <c r="C165" s="43" t="s">
        <v>285</v>
      </c>
      <c r="D165" s="47">
        <f t="shared" si="17"/>
        <v>92.2713515907581</v>
      </c>
      <c r="E165" s="52">
        <f t="shared" si="19"/>
        <v>4.37</v>
      </c>
      <c r="F165" s="52">
        <f t="shared" si="21"/>
        <v>1.24</v>
      </c>
      <c r="G165" s="47">
        <f t="shared" si="23"/>
        <v>403.2258064516129</v>
      </c>
      <c r="H165" s="47">
        <v>500</v>
      </c>
      <c r="I165" s="47">
        <f t="shared" si="22"/>
        <v>500</v>
      </c>
      <c r="J165" s="48" t="str">
        <f t="shared" si="24"/>
        <v>Cumpărare directă</v>
      </c>
      <c r="K165" s="49">
        <v>41275</v>
      </c>
      <c r="L165" s="49">
        <v>41639</v>
      </c>
      <c r="M165" s="48" t="s">
        <v>19</v>
      </c>
    </row>
    <row r="166" spans="1:13" ht="24">
      <c r="A166" s="48">
        <v>135</v>
      </c>
      <c r="B166" s="65" t="s">
        <v>286</v>
      </c>
      <c r="C166" s="43" t="s">
        <v>287</v>
      </c>
      <c r="D166" s="47">
        <f t="shared" si="17"/>
        <v>92.2713515907581</v>
      </c>
      <c r="E166" s="52">
        <f t="shared" si="19"/>
        <v>4.37</v>
      </c>
      <c r="F166" s="52">
        <f t="shared" si="21"/>
        <v>1.24</v>
      </c>
      <c r="G166" s="47">
        <f t="shared" si="23"/>
        <v>403.2258064516129</v>
      </c>
      <c r="H166" s="47">
        <v>500</v>
      </c>
      <c r="I166" s="47">
        <f t="shared" si="22"/>
        <v>500</v>
      </c>
      <c r="J166" s="48" t="str">
        <f t="shared" si="24"/>
        <v>Cumpărare directă</v>
      </c>
      <c r="K166" s="49">
        <v>41275</v>
      </c>
      <c r="L166" s="49">
        <v>41639</v>
      </c>
      <c r="M166" s="48" t="s">
        <v>19</v>
      </c>
    </row>
    <row r="167" spans="1:13" ht="24">
      <c r="A167" s="48">
        <v>136</v>
      </c>
      <c r="B167" s="65" t="s">
        <v>173</v>
      </c>
      <c r="C167" s="43" t="s">
        <v>174</v>
      </c>
      <c r="D167" s="47">
        <f t="shared" si="17"/>
        <v>73.81708127260647</v>
      </c>
      <c r="E167" s="52">
        <f t="shared" si="19"/>
        <v>4.37</v>
      </c>
      <c r="F167" s="52">
        <f t="shared" si="21"/>
        <v>1.24</v>
      </c>
      <c r="G167" s="47">
        <f t="shared" si="23"/>
        <v>322.5806451612903</v>
      </c>
      <c r="H167" s="47">
        <v>400</v>
      </c>
      <c r="I167" s="47">
        <f t="shared" si="22"/>
        <v>400</v>
      </c>
      <c r="J167" s="48" t="str">
        <f t="shared" si="24"/>
        <v>Cumpărare directă</v>
      </c>
      <c r="K167" s="49">
        <v>41275</v>
      </c>
      <c r="L167" s="49">
        <v>41639</v>
      </c>
      <c r="M167" s="48" t="s">
        <v>19</v>
      </c>
    </row>
    <row r="168" spans="1:13" ht="24">
      <c r="A168" s="48">
        <v>137</v>
      </c>
      <c r="B168" s="65" t="s">
        <v>288</v>
      </c>
      <c r="C168" s="43" t="s">
        <v>289</v>
      </c>
      <c r="D168" s="47">
        <f t="shared" si="17"/>
        <v>553.6281095445486</v>
      </c>
      <c r="E168" s="52">
        <f t="shared" si="19"/>
        <v>4.37</v>
      </c>
      <c r="F168" s="52">
        <f t="shared" si="21"/>
        <v>1.24</v>
      </c>
      <c r="G168" s="47">
        <f t="shared" si="23"/>
        <v>2419.3548387096776</v>
      </c>
      <c r="H168" s="47">
        <v>3000</v>
      </c>
      <c r="I168" s="47">
        <f t="shared" si="22"/>
        <v>3000</v>
      </c>
      <c r="J168" s="48" t="str">
        <f t="shared" si="24"/>
        <v>Cumpărare directă</v>
      </c>
      <c r="K168" s="49">
        <v>41275</v>
      </c>
      <c r="L168" s="49">
        <v>41639</v>
      </c>
      <c r="M168" s="48" t="s">
        <v>19</v>
      </c>
    </row>
    <row r="169" spans="1:13" ht="36">
      <c r="A169" s="48">
        <v>138</v>
      </c>
      <c r="B169" s="65" t="s">
        <v>290</v>
      </c>
      <c r="C169" s="43" t="s">
        <v>291</v>
      </c>
      <c r="D169" s="47">
        <f t="shared" si="17"/>
        <v>129.17989222706134</v>
      </c>
      <c r="E169" s="52">
        <f t="shared" si="19"/>
        <v>4.37</v>
      </c>
      <c r="F169" s="52">
        <f t="shared" si="21"/>
        <v>1.24</v>
      </c>
      <c r="G169" s="47">
        <f t="shared" si="23"/>
        <v>564.516129032258</v>
      </c>
      <c r="H169" s="47">
        <f>100+200+400</f>
        <v>700</v>
      </c>
      <c r="I169" s="47">
        <f t="shared" si="22"/>
        <v>700</v>
      </c>
      <c r="J169" s="48" t="str">
        <f t="shared" si="24"/>
        <v>Cumpărare directă</v>
      </c>
      <c r="K169" s="49">
        <v>41275</v>
      </c>
      <c r="L169" s="49">
        <v>41639</v>
      </c>
      <c r="M169" s="48" t="s">
        <v>19</v>
      </c>
    </row>
    <row r="170" spans="1:13" ht="24">
      <c r="A170" s="48">
        <v>139</v>
      </c>
      <c r="B170" s="63" t="s">
        <v>292</v>
      </c>
      <c r="C170" s="63" t="s">
        <v>293</v>
      </c>
      <c r="D170" s="47">
        <f>G170/$B$8</f>
        <v>1476.3416254521296</v>
      </c>
      <c r="E170" s="52">
        <f t="shared" si="19"/>
        <v>4.37</v>
      </c>
      <c r="F170" s="52">
        <f t="shared" si="21"/>
        <v>1.24</v>
      </c>
      <c r="G170" s="47">
        <f t="shared" si="23"/>
        <v>6451.612903225807</v>
      </c>
      <c r="H170" s="47">
        <v>8000</v>
      </c>
      <c r="I170" s="47">
        <f t="shared" si="22"/>
        <v>8000</v>
      </c>
      <c r="J170" s="48" t="str">
        <f t="shared" si="24"/>
        <v>Cumpărare directă</v>
      </c>
      <c r="K170" s="49">
        <v>41275</v>
      </c>
      <c r="L170" s="49">
        <v>41639</v>
      </c>
      <c r="M170" s="48" t="s">
        <v>19</v>
      </c>
    </row>
    <row r="171" spans="1:13" ht="24">
      <c r="A171" s="48">
        <v>140</v>
      </c>
      <c r="B171" s="65" t="s">
        <v>294</v>
      </c>
      <c r="C171" s="43" t="s">
        <v>295</v>
      </c>
      <c r="D171" s="47">
        <f>G171/$B$8</f>
        <v>73.81708127260647</v>
      </c>
      <c r="E171" s="52">
        <f t="shared" si="19"/>
        <v>4.37</v>
      </c>
      <c r="F171" s="52">
        <f t="shared" si="21"/>
        <v>1.24</v>
      </c>
      <c r="G171" s="47">
        <f t="shared" si="23"/>
        <v>322.5806451612903</v>
      </c>
      <c r="H171" s="47">
        <v>400</v>
      </c>
      <c r="I171" s="47">
        <f t="shared" si="22"/>
        <v>400</v>
      </c>
      <c r="J171" s="48" t="str">
        <f t="shared" si="24"/>
        <v>Cumpărare directă</v>
      </c>
      <c r="K171" s="49">
        <v>41275</v>
      </c>
      <c r="L171" s="49">
        <v>41639</v>
      </c>
      <c r="M171" s="48" t="s">
        <v>19</v>
      </c>
    </row>
    <row r="172" spans="1:13" ht="12">
      <c r="A172" s="48"/>
      <c r="B172" s="67" t="s">
        <v>296</v>
      </c>
      <c r="C172" s="43"/>
      <c r="D172" s="109">
        <f aca="true" t="shared" si="25" ref="D172:I172">D173</f>
        <v>23990.551413597106</v>
      </c>
      <c r="E172" s="52">
        <f t="shared" si="19"/>
        <v>4.37</v>
      </c>
      <c r="F172" s="52">
        <f t="shared" si="21"/>
        <v>1.24</v>
      </c>
      <c r="G172" s="109">
        <f t="shared" si="25"/>
        <v>104838.70967741935</v>
      </c>
      <c r="H172" s="109">
        <f t="shared" si="25"/>
        <v>130000</v>
      </c>
      <c r="I172" s="109">
        <f t="shared" si="25"/>
        <v>130000</v>
      </c>
      <c r="J172" s="49"/>
      <c r="K172" s="49"/>
      <c r="L172" s="48"/>
      <c r="M172" s="68"/>
    </row>
    <row r="173" spans="1:13" ht="24">
      <c r="A173" s="48">
        <v>141</v>
      </c>
      <c r="B173" s="46" t="s">
        <v>297</v>
      </c>
      <c r="C173" s="43" t="s">
        <v>298</v>
      </c>
      <c r="D173" s="47">
        <f>G173/$B$8</f>
        <v>23990.551413597106</v>
      </c>
      <c r="E173" s="52">
        <f t="shared" si="19"/>
        <v>4.37</v>
      </c>
      <c r="F173" s="52">
        <f t="shared" si="21"/>
        <v>1.24</v>
      </c>
      <c r="G173" s="47">
        <f>H173/$B$9</f>
        <v>104838.70967741935</v>
      </c>
      <c r="H173" s="47">
        <v>130000</v>
      </c>
      <c r="I173" s="47">
        <f t="shared" si="22"/>
        <v>130000</v>
      </c>
      <c r="J173" s="48" t="str">
        <f t="shared" si="24"/>
        <v>Cerere de Oferte</v>
      </c>
      <c r="K173" s="49">
        <v>41275</v>
      </c>
      <c r="L173" s="49">
        <v>41639</v>
      </c>
      <c r="M173" s="48" t="s">
        <v>19</v>
      </c>
    </row>
    <row r="174" spans="1:13" ht="24">
      <c r="A174" s="48"/>
      <c r="B174" s="67" t="s">
        <v>299</v>
      </c>
      <c r="C174" s="43"/>
      <c r="D174" s="109">
        <f aca="true" t="shared" si="26" ref="D174:H175">D175</f>
        <v>4613.567579537905</v>
      </c>
      <c r="E174" s="52">
        <f t="shared" si="19"/>
        <v>4.37</v>
      </c>
      <c r="F174" s="52">
        <f t="shared" si="21"/>
        <v>1.24</v>
      </c>
      <c r="G174" s="109">
        <f t="shared" si="26"/>
        <v>20161.290322580644</v>
      </c>
      <c r="H174" s="109">
        <f t="shared" si="26"/>
        <v>25000</v>
      </c>
      <c r="I174" s="109">
        <f t="shared" si="22"/>
        <v>25000</v>
      </c>
      <c r="J174" s="34"/>
      <c r="K174" s="49"/>
      <c r="L174" s="54"/>
      <c r="M174" s="54"/>
    </row>
    <row r="175" spans="1:13" ht="12">
      <c r="A175" s="48"/>
      <c r="B175" s="53" t="s">
        <v>300</v>
      </c>
      <c r="C175" s="43"/>
      <c r="D175" s="109">
        <f t="shared" si="26"/>
        <v>4613.567579537905</v>
      </c>
      <c r="E175" s="52">
        <f t="shared" si="19"/>
        <v>4.37</v>
      </c>
      <c r="F175" s="52">
        <f t="shared" si="21"/>
        <v>1.24</v>
      </c>
      <c r="G175" s="109">
        <f t="shared" si="26"/>
        <v>20161.290322580644</v>
      </c>
      <c r="H175" s="109">
        <f t="shared" si="26"/>
        <v>25000</v>
      </c>
      <c r="I175" s="109">
        <f>I176</f>
        <v>25000</v>
      </c>
      <c r="J175" s="34"/>
      <c r="K175" s="49"/>
      <c r="L175" s="54"/>
      <c r="M175" s="54"/>
    </row>
    <row r="176" spans="1:13" ht="36">
      <c r="A176" s="48"/>
      <c r="B176" s="58" t="s">
        <v>301</v>
      </c>
      <c r="C176" s="1"/>
      <c r="D176" s="109">
        <f>SUM(D177:D179)</f>
        <v>4613.567579537905</v>
      </c>
      <c r="E176" s="52">
        <f t="shared" si="19"/>
        <v>4.37</v>
      </c>
      <c r="F176" s="52">
        <f t="shared" si="21"/>
        <v>1.24</v>
      </c>
      <c r="G176" s="109">
        <f>SUM(G177:G179)</f>
        <v>20161.290322580644</v>
      </c>
      <c r="H176" s="109">
        <f>SUM(H177:H179)</f>
        <v>25000</v>
      </c>
      <c r="I176" s="109">
        <f>SUM(I177:I179)</f>
        <v>25000</v>
      </c>
      <c r="J176" s="34"/>
      <c r="K176" s="49"/>
      <c r="L176" s="54"/>
      <c r="M176" s="54"/>
    </row>
    <row r="177" spans="1:13" ht="24">
      <c r="A177" s="48">
        <v>142</v>
      </c>
      <c r="B177" s="46" t="s">
        <v>302</v>
      </c>
      <c r="C177" s="43" t="s">
        <v>120</v>
      </c>
      <c r="D177" s="47">
        <f>G177/$B$8</f>
        <v>3653.945522994021</v>
      </c>
      <c r="E177" s="52">
        <f aca="true" t="shared" si="27" ref="E177:E222">G177/D177</f>
        <v>4.37</v>
      </c>
      <c r="F177" s="52">
        <f aca="true" t="shared" si="28" ref="F177:F224">H177/G177</f>
        <v>1.24</v>
      </c>
      <c r="G177" s="47">
        <f>H177/$B$9</f>
        <v>15967.741935483871</v>
      </c>
      <c r="H177" s="47">
        <f>20000-200</f>
        <v>19800</v>
      </c>
      <c r="I177" s="47">
        <f aca="true" t="shared" si="29" ref="I177:I223">H177</f>
        <v>19800</v>
      </c>
      <c r="J177" s="48" t="str">
        <f>IF(D177&lt;=15000,"Cumpărare directă",IF(D177&lt;=130000,"Cerere de Oferte","Licitaţie deschisă"))</f>
        <v>Cumpărare directă</v>
      </c>
      <c r="K177" s="49">
        <v>41275</v>
      </c>
      <c r="L177" s="49">
        <v>41639</v>
      </c>
      <c r="M177" s="48" t="s">
        <v>19</v>
      </c>
    </row>
    <row r="178" spans="1:13" ht="24">
      <c r="A178" s="48">
        <v>143</v>
      </c>
      <c r="B178" s="46" t="s">
        <v>303</v>
      </c>
      <c r="C178" s="43" t="s">
        <v>304</v>
      </c>
      <c r="D178" s="47">
        <f>G178/$B$8</f>
        <v>922.713515907581</v>
      </c>
      <c r="E178" s="52">
        <f t="shared" si="27"/>
        <v>4.37</v>
      </c>
      <c r="F178" s="52">
        <f t="shared" si="28"/>
        <v>1.24</v>
      </c>
      <c r="G178" s="47">
        <f>H178/$B$9</f>
        <v>4032.2580645161293</v>
      </c>
      <c r="H178" s="47">
        <f>2000+2800+200</f>
        <v>5000</v>
      </c>
      <c r="I178" s="47">
        <f>H178</f>
        <v>5000</v>
      </c>
      <c r="J178" s="48" t="str">
        <f>IF(D178&lt;=15000,"Cumpărare directă",IF(D178&lt;=130000,"Cerere de Oferte","Licitaţie deschisă"))</f>
        <v>Cumpărare directă</v>
      </c>
      <c r="K178" s="49">
        <v>41275</v>
      </c>
      <c r="L178" s="49">
        <v>41639</v>
      </c>
      <c r="M178" s="48" t="s">
        <v>19</v>
      </c>
    </row>
    <row r="179" spans="1:13" ht="24">
      <c r="A179" s="48">
        <v>144</v>
      </c>
      <c r="B179" s="43" t="s">
        <v>305</v>
      </c>
      <c r="C179" s="43" t="s">
        <v>306</v>
      </c>
      <c r="D179" s="47">
        <f>G179/$B$8</f>
        <v>36.908540636303236</v>
      </c>
      <c r="E179" s="52">
        <f t="shared" si="27"/>
        <v>4.37</v>
      </c>
      <c r="F179" s="52">
        <f t="shared" si="28"/>
        <v>1.24</v>
      </c>
      <c r="G179" s="47">
        <f>H179/$B$9</f>
        <v>161.29032258064515</v>
      </c>
      <c r="H179" s="47">
        <f>3000-2800</f>
        <v>200</v>
      </c>
      <c r="I179" s="47">
        <f t="shared" si="29"/>
        <v>200</v>
      </c>
      <c r="J179" s="48" t="str">
        <f>IF(D179&lt;=15000,"Cumpărare directă",IF(D179&lt;=130000,"Cerere de Oferte","Licitaţie deschisă"))</f>
        <v>Cumpărare directă</v>
      </c>
      <c r="K179" s="49">
        <v>41275</v>
      </c>
      <c r="L179" s="49">
        <v>41639</v>
      </c>
      <c r="M179" s="48" t="s">
        <v>19</v>
      </c>
    </row>
    <row r="180" spans="1:13" ht="24">
      <c r="A180" s="48"/>
      <c r="B180" s="67" t="s">
        <v>307</v>
      </c>
      <c r="C180" s="43"/>
      <c r="D180" s="109">
        <f>D181+D187</f>
        <v>286041.1899313501</v>
      </c>
      <c r="E180" s="52">
        <f t="shared" si="27"/>
        <v>4.37</v>
      </c>
      <c r="F180" s="52">
        <f t="shared" si="28"/>
        <v>1.24</v>
      </c>
      <c r="G180" s="109">
        <f>G181+G187</f>
        <v>1250000</v>
      </c>
      <c r="H180" s="109">
        <f>H181+H187</f>
        <v>1550000</v>
      </c>
      <c r="I180" s="109">
        <f t="shared" si="29"/>
        <v>1550000</v>
      </c>
      <c r="J180" s="34"/>
      <c r="K180" s="49"/>
      <c r="L180" s="54"/>
      <c r="M180" s="54"/>
    </row>
    <row r="181" spans="1:13" ht="24">
      <c r="A181" s="48"/>
      <c r="B181" s="53" t="s">
        <v>308</v>
      </c>
      <c r="C181" s="43"/>
      <c r="D181" s="109">
        <f>D182+D184</f>
        <v>101498.48674983392</v>
      </c>
      <c r="E181" s="52">
        <f t="shared" si="27"/>
        <v>4.37</v>
      </c>
      <c r="F181" s="52">
        <f t="shared" si="28"/>
        <v>1.24</v>
      </c>
      <c r="G181" s="109">
        <f>G182+G184</f>
        <v>443548.3870967742</v>
      </c>
      <c r="H181" s="109">
        <f>H182+H184</f>
        <v>550000</v>
      </c>
      <c r="I181" s="109">
        <f t="shared" si="29"/>
        <v>550000</v>
      </c>
      <c r="J181" s="34"/>
      <c r="K181" s="49"/>
      <c r="L181" s="54"/>
      <c r="M181" s="54"/>
    </row>
    <row r="182" spans="1:13" ht="24">
      <c r="A182" s="48"/>
      <c r="B182" s="58" t="s">
        <v>309</v>
      </c>
      <c r="C182" s="43"/>
      <c r="D182" s="109">
        <f>SUM(D183:D183)</f>
        <v>64589.94611353067</v>
      </c>
      <c r="E182" s="52">
        <f t="shared" si="27"/>
        <v>4.37</v>
      </c>
      <c r="F182" s="52">
        <f t="shared" si="28"/>
        <v>1.24</v>
      </c>
      <c r="G182" s="109">
        <f>SUM(G183:G183)</f>
        <v>282258.06451612903</v>
      </c>
      <c r="H182" s="109">
        <f>SUM(H183:H183)</f>
        <v>350000</v>
      </c>
      <c r="I182" s="109">
        <f t="shared" si="29"/>
        <v>350000</v>
      </c>
      <c r="J182" s="34"/>
      <c r="K182" s="49"/>
      <c r="L182" s="54"/>
      <c r="M182" s="54"/>
    </row>
    <row r="183" spans="1:13" ht="60">
      <c r="A183" s="48">
        <v>145</v>
      </c>
      <c r="B183" s="46" t="s">
        <v>310</v>
      </c>
      <c r="C183" s="43" t="s">
        <v>311</v>
      </c>
      <c r="D183" s="47">
        <f>G183/$B$8</f>
        <v>64589.94611353067</v>
      </c>
      <c r="E183" s="52">
        <f t="shared" si="27"/>
        <v>4.37</v>
      </c>
      <c r="F183" s="52">
        <f t="shared" si="28"/>
        <v>1.24</v>
      </c>
      <c r="G183" s="47">
        <f>H183/$B$9</f>
        <v>282258.06451612903</v>
      </c>
      <c r="H183" s="47">
        <f>350000</f>
        <v>350000</v>
      </c>
      <c r="I183" s="47">
        <f t="shared" si="29"/>
        <v>350000</v>
      </c>
      <c r="J183" s="48" t="s">
        <v>312</v>
      </c>
      <c r="K183" s="49">
        <v>41275</v>
      </c>
      <c r="L183" s="49">
        <v>41639</v>
      </c>
      <c r="M183" s="48" t="s">
        <v>19</v>
      </c>
    </row>
    <row r="184" spans="1:13" ht="24">
      <c r="A184" s="48"/>
      <c r="B184" s="58" t="s">
        <v>313</v>
      </c>
      <c r="C184" s="43"/>
      <c r="D184" s="109">
        <f>SUM(D185:D186)</f>
        <v>36908.54063630324</v>
      </c>
      <c r="E184" s="52">
        <f t="shared" si="27"/>
        <v>4.37</v>
      </c>
      <c r="F184" s="52">
        <f t="shared" si="28"/>
        <v>1.24</v>
      </c>
      <c r="G184" s="109">
        <f>SUM(G185:G186)</f>
        <v>161290.32258064515</v>
      </c>
      <c r="H184" s="109">
        <f>SUM(H185:H186)</f>
        <v>200000</v>
      </c>
      <c r="I184" s="109">
        <f t="shared" si="29"/>
        <v>200000</v>
      </c>
      <c r="J184" s="34"/>
      <c r="K184" s="49"/>
      <c r="L184" s="54"/>
      <c r="M184" s="54"/>
    </row>
    <row r="185" spans="1:13" ht="60">
      <c r="A185" s="48">
        <v>146</v>
      </c>
      <c r="B185" s="46" t="s">
        <v>314</v>
      </c>
      <c r="C185" s="43" t="s">
        <v>315</v>
      </c>
      <c r="D185" s="47">
        <f>G185/$B$8</f>
        <v>9227.13515907581</v>
      </c>
      <c r="E185" s="52">
        <f t="shared" si="27"/>
        <v>4.37</v>
      </c>
      <c r="F185" s="52">
        <f t="shared" si="28"/>
        <v>1.24</v>
      </c>
      <c r="G185" s="47">
        <f>H185/$B$9</f>
        <v>40322.58064516129</v>
      </c>
      <c r="H185" s="47">
        <f>25000+25000</f>
        <v>50000</v>
      </c>
      <c r="I185" s="47">
        <f t="shared" si="29"/>
        <v>50000</v>
      </c>
      <c r="J185" s="69" t="s">
        <v>316</v>
      </c>
      <c r="K185" s="49">
        <v>41275</v>
      </c>
      <c r="L185" s="49">
        <v>41639</v>
      </c>
      <c r="M185" s="69" t="s">
        <v>19</v>
      </c>
    </row>
    <row r="186" spans="1:13" ht="48">
      <c r="A186" s="48">
        <v>147</v>
      </c>
      <c r="B186" s="46" t="s">
        <v>317</v>
      </c>
      <c r="C186" s="43" t="s">
        <v>318</v>
      </c>
      <c r="D186" s="47">
        <f>G186/$B$8</f>
        <v>27681.405477227432</v>
      </c>
      <c r="E186" s="52">
        <f t="shared" si="27"/>
        <v>4.37</v>
      </c>
      <c r="F186" s="52">
        <f t="shared" si="28"/>
        <v>1.24</v>
      </c>
      <c r="G186" s="47">
        <f>H186/$B$9</f>
        <v>120967.74193548388</v>
      </c>
      <c r="H186" s="47">
        <f>50000+100000</f>
        <v>150000</v>
      </c>
      <c r="I186" s="47">
        <f t="shared" si="29"/>
        <v>150000</v>
      </c>
      <c r="J186" s="69" t="s">
        <v>138</v>
      </c>
      <c r="K186" s="49">
        <v>41275</v>
      </c>
      <c r="L186" s="49">
        <v>41639</v>
      </c>
      <c r="M186" s="69" t="s">
        <v>19</v>
      </c>
    </row>
    <row r="187" spans="1:13" ht="12">
      <c r="A187" s="48"/>
      <c r="B187" s="53" t="s">
        <v>319</v>
      </c>
      <c r="C187" s="43"/>
      <c r="D187" s="109">
        <f>D188+D190+D192+D195</f>
        <v>184542.7031815162</v>
      </c>
      <c r="E187" s="52">
        <f t="shared" si="27"/>
        <v>4.37</v>
      </c>
      <c r="F187" s="52">
        <f t="shared" si="28"/>
        <v>1.24</v>
      </c>
      <c r="G187" s="109">
        <f>G188+G190+G192+G195</f>
        <v>806451.6129032258</v>
      </c>
      <c r="H187" s="109">
        <f>H188+H190+H192+H195</f>
        <v>1000000</v>
      </c>
      <c r="I187" s="109">
        <f t="shared" si="29"/>
        <v>1000000</v>
      </c>
      <c r="J187" s="34"/>
      <c r="K187" s="49"/>
      <c r="L187" s="54"/>
      <c r="M187" s="54"/>
    </row>
    <row r="188" spans="1:13" ht="24">
      <c r="A188" s="48"/>
      <c r="B188" s="58" t="s">
        <v>320</v>
      </c>
      <c r="C188" s="43"/>
      <c r="D188" s="109">
        <f>SUM(D189)</f>
        <v>83044.21643168229</v>
      </c>
      <c r="E188" s="52">
        <f t="shared" si="27"/>
        <v>4.37</v>
      </c>
      <c r="F188" s="52">
        <f t="shared" si="28"/>
        <v>1.24</v>
      </c>
      <c r="G188" s="109">
        <f>SUM(G189)</f>
        <v>362903.22580645164</v>
      </c>
      <c r="H188" s="109">
        <f>SUM(H189)</f>
        <v>450000</v>
      </c>
      <c r="I188" s="109">
        <f t="shared" si="29"/>
        <v>450000</v>
      </c>
      <c r="J188" s="34"/>
      <c r="K188" s="49"/>
      <c r="L188" s="54"/>
      <c r="M188" s="54"/>
    </row>
    <row r="189" spans="1:13" ht="60">
      <c r="A189" s="48">
        <v>148</v>
      </c>
      <c r="B189" s="46" t="s">
        <v>310</v>
      </c>
      <c r="C189" s="43" t="s">
        <v>311</v>
      </c>
      <c r="D189" s="47">
        <f aca="true" t="shared" si="30" ref="D189:D206">G189/$B$8</f>
        <v>83044.21643168229</v>
      </c>
      <c r="E189" s="52">
        <f t="shared" si="27"/>
        <v>4.37</v>
      </c>
      <c r="F189" s="52">
        <f t="shared" si="28"/>
        <v>1.24</v>
      </c>
      <c r="G189" s="47">
        <f>H189/$B$9</f>
        <v>362903.22580645164</v>
      </c>
      <c r="H189" s="47">
        <f>450000</f>
        <v>450000</v>
      </c>
      <c r="I189" s="47">
        <f t="shared" si="29"/>
        <v>450000</v>
      </c>
      <c r="J189" s="48" t="s">
        <v>312</v>
      </c>
      <c r="K189" s="49">
        <v>41275</v>
      </c>
      <c r="L189" s="49">
        <v>41639</v>
      </c>
      <c r="M189" s="48" t="s">
        <v>19</v>
      </c>
    </row>
    <row r="190" spans="1:13" ht="24">
      <c r="A190" s="48"/>
      <c r="B190" s="58" t="s">
        <v>321</v>
      </c>
      <c r="C190" s="43"/>
      <c r="D190" s="109">
        <f>SUM(D191)</f>
        <v>92271.3515907581</v>
      </c>
      <c r="E190" s="52">
        <f t="shared" si="27"/>
        <v>4.37</v>
      </c>
      <c r="F190" s="52">
        <f t="shared" si="28"/>
        <v>1.24</v>
      </c>
      <c r="G190" s="109">
        <f>SUM(G191)</f>
        <v>403225.8064516129</v>
      </c>
      <c r="H190" s="109">
        <f>SUM(H191)</f>
        <v>500000</v>
      </c>
      <c r="I190" s="109">
        <f t="shared" si="29"/>
        <v>500000</v>
      </c>
      <c r="J190" s="34"/>
      <c r="K190" s="49"/>
      <c r="L190" s="54"/>
      <c r="M190" s="54"/>
    </row>
    <row r="191" spans="1:13" ht="48">
      <c r="A191" s="48">
        <v>149</v>
      </c>
      <c r="B191" s="46" t="s">
        <v>317</v>
      </c>
      <c r="C191" s="43" t="s">
        <v>322</v>
      </c>
      <c r="D191" s="47">
        <f t="shared" si="30"/>
        <v>92271.3515907581</v>
      </c>
      <c r="E191" s="52">
        <f t="shared" si="27"/>
        <v>4.37</v>
      </c>
      <c r="F191" s="52">
        <f t="shared" si="28"/>
        <v>1.24</v>
      </c>
      <c r="G191" s="47">
        <f>H191/$B$9</f>
        <v>403225.8064516129</v>
      </c>
      <c r="H191" s="47">
        <v>500000</v>
      </c>
      <c r="I191" s="47">
        <f t="shared" si="29"/>
        <v>500000</v>
      </c>
      <c r="J191" s="48" t="s">
        <v>138</v>
      </c>
      <c r="K191" s="49">
        <v>41275</v>
      </c>
      <c r="L191" s="49">
        <v>41639</v>
      </c>
      <c r="M191" s="48" t="s">
        <v>19</v>
      </c>
    </row>
    <row r="192" spans="1:13" ht="24">
      <c r="A192" s="48"/>
      <c r="B192" s="58" t="s">
        <v>323</v>
      </c>
      <c r="C192" s="43"/>
      <c r="D192" s="109">
        <f>SUM(D193:D194)</f>
        <v>8119.878939986713</v>
      </c>
      <c r="E192" s="52">
        <f t="shared" si="27"/>
        <v>4.37</v>
      </c>
      <c r="F192" s="52">
        <f t="shared" si="28"/>
        <v>1.2399999999999998</v>
      </c>
      <c r="G192" s="109">
        <f>SUM(G193:G194)</f>
        <v>35483.87096774194</v>
      </c>
      <c r="H192" s="109">
        <f>SUM(H193:H194)</f>
        <v>44000</v>
      </c>
      <c r="I192" s="109">
        <f t="shared" si="29"/>
        <v>44000</v>
      </c>
      <c r="J192" s="34"/>
      <c r="K192" s="49"/>
      <c r="L192" s="54"/>
      <c r="M192" s="54"/>
    </row>
    <row r="193" spans="1:13" ht="60">
      <c r="A193" s="48">
        <v>150</v>
      </c>
      <c r="B193" s="64" t="s">
        <v>324</v>
      </c>
      <c r="C193" s="64" t="s">
        <v>325</v>
      </c>
      <c r="D193" s="47">
        <f t="shared" si="30"/>
        <v>7381.708127260648</v>
      </c>
      <c r="E193" s="52">
        <f t="shared" si="27"/>
        <v>4.37</v>
      </c>
      <c r="F193" s="52">
        <f t="shared" si="28"/>
        <v>1.24</v>
      </c>
      <c r="G193" s="47">
        <f>H193/$B$9</f>
        <v>32258.064516129034</v>
      </c>
      <c r="H193" s="47">
        <v>40000</v>
      </c>
      <c r="I193" s="47">
        <f t="shared" si="29"/>
        <v>40000</v>
      </c>
      <c r="J193" s="48" t="s">
        <v>312</v>
      </c>
      <c r="K193" s="49">
        <v>41275</v>
      </c>
      <c r="L193" s="49">
        <v>41639</v>
      </c>
      <c r="M193" s="48" t="s">
        <v>19</v>
      </c>
    </row>
    <row r="194" spans="1:13" ht="60">
      <c r="A194" s="48">
        <v>151</v>
      </c>
      <c r="B194" s="64" t="s">
        <v>326</v>
      </c>
      <c r="C194" s="64" t="s">
        <v>327</v>
      </c>
      <c r="D194" s="47">
        <f>G194/$B$8</f>
        <v>738.1708127260648</v>
      </c>
      <c r="E194" s="52">
        <f t="shared" si="27"/>
        <v>4.37</v>
      </c>
      <c r="F194" s="52">
        <f t="shared" si="28"/>
        <v>1.24</v>
      </c>
      <c r="G194" s="47">
        <f>H194/$B$9</f>
        <v>3225.8064516129034</v>
      </c>
      <c r="H194" s="47">
        <v>4000</v>
      </c>
      <c r="I194" s="47">
        <f t="shared" si="29"/>
        <v>4000</v>
      </c>
      <c r="J194" s="48" t="s">
        <v>312</v>
      </c>
      <c r="K194" s="49">
        <v>41275</v>
      </c>
      <c r="L194" s="49">
        <v>41639</v>
      </c>
      <c r="M194" s="48" t="s">
        <v>19</v>
      </c>
    </row>
    <row r="195" spans="1:13" ht="24">
      <c r="A195" s="48"/>
      <c r="B195" s="58" t="s">
        <v>328</v>
      </c>
      <c r="C195" s="43"/>
      <c r="D195" s="109">
        <f>SUM(D196)</f>
        <v>1107.2562190890972</v>
      </c>
      <c r="E195" s="52">
        <f t="shared" si="27"/>
        <v>4.37</v>
      </c>
      <c r="F195" s="52">
        <f t="shared" si="28"/>
        <v>1.24</v>
      </c>
      <c r="G195" s="109">
        <f>SUM(G196)</f>
        <v>4838.709677419355</v>
      </c>
      <c r="H195" s="109">
        <f>SUM(H196)</f>
        <v>6000</v>
      </c>
      <c r="I195" s="109">
        <f t="shared" si="29"/>
        <v>6000</v>
      </c>
      <c r="J195" s="34"/>
      <c r="K195" s="49"/>
      <c r="L195" s="54"/>
      <c r="M195" s="54"/>
    </row>
    <row r="196" spans="1:13" ht="60">
      <c r="A196" s="48">
        <v>152</v>
      </c>
      <c r="B196" s="43" t="s">
        <v>329</v>
      </c>
      <c r="C196" s="43" t="s">
        <v>330</v>
      </c>
      <c r="D196" s="47">
        <f t="shared" si="30"/>
        <v>1107.2562190890972</v>
      </c>
      <c r="E196" s="52">
        <f t="shared" si="27"/>
        <v>4.37</v>
      </c>
      <c r="F196" s="52">
        <f t="shared" si="28"/>
        <v>1.24</v>
      </c>
      <c r="G196" s="47">
        <f>H196/$B$9</f>
        <v>4838.709677419355</v>
      </c>
      <c r="H196" s="47">
        <v>6000</v>
      </c>
      <c r="I196" s="47">
        <f t="shared" si="29"/>
        <v>6000</v>
      </c>
      <c r="J196" s="48" t="s">
        <v>312</v>
      </c>
      <c r="K196" s="49">
        <v>41275</v>
      </c>
      <c r="L196" s="49">
        <v>41639</v>
      </c>
      <c r="M196" s="48" t="s">
        <v>331</v>
      </c>
    </row>
    <row r="197" spans="1:13" ht="24">
      <c r="A197" s="48"/>
      <c r="B197" s="67" t="s">
        <v>332</v>
      </c>
      <c r="C197" s="43"/>
      <c r="D197" s="109">
        <f>SUM(D198:D200)</f>
        <v>3875.3967668118407</v>
      </c>
      <c r="E197" s="52">
        <f t="shared" si="27"/>
        <v>4.369999999999999</v>
      </c>
      <c r="F197" s="52">
        <f t="shared" si="28"/>
        <v>1.24</v>
      </c>
      <c r="G197" s="109">
        <f>SUM(G198:G200)</f>
        <v>16935.483870967742</v>
      </c>
      <c r="H197" s="109">
        <f>SUM(H198:H200)</f>
        <v>21000</v>
      </c>
      <c r="I197" s="109">
        <f t="shared" si="29"/>
        <v>21000</v>
      </c>
      <c r="J197" s="34"/>
      <c r="K197" s="49"/>
      <c r="L197" s="54"/>
      <c r="M197" s="54"/>
    </row>
    <row r="198" spans="1:13" ht="32.25" customHeight="1">
      <c r="A198" s="48">
        <v>153</v>
      </c>
      <c r="B198" s="46" t="s">
        <v>333</v>
      </c>
      <c r="C198" s="43" t="s">
        <v>334</v>
      </c>
      <c r="D198" s="47">
        <f t="shared" si="30"/>
        <v>2029.9697349966784</v>
      </c>
      <c r="E198" s="52">
        <f t="shared" si="27"/>
        <v>4.37</v>
      </c>
      <c r="F198" s="52">
        <f t="shared" si="28"/>
        <v>1.2399999999999998</v>
      </c>
      <c r="G198" s="47">
        <f>H198/$B$9</f>
        <v>8870.967741935485</v>
      </c>
      <c r="H198" s="47">
        <v>11000</v>
      </c>
      <c r="I198" s="47">
        <f t="shared" si="29"/>
        <v>11000</v>
      </c>
      <c r="J198" s="48" t="str">
        <f>IF(D198&lt;=15000,"Cumpărare directă",IF(D198&lt;=130000,"Cerere de Oferte","Licitaţie deschisă"))</f>
        <v>Cumpărare directă</v>
      </c>
      <c r="K198" s="49">
        <v>41275</v>
      </c>
      <c r="L198" s="49">
        <v>41639</v>
      </c>
      <c r="M198" s="48" t="s">
        <v>19</v>
      </c>
    </row>
    <row r="199" spans="1:13" ht="24">
      <c r="A199" s="48">
        <v>154</v>
      </c>
      <c r="B199" s="46" t="s">
        <v>335</v>
      </c>
      <c r="C199" s="43" t="s">
        <v>336</v>
      </c>
      <c r="D199" s="47">
        <f t="shared" si="30"/>
        <v>922.713515907581</v>
      </c>
      <c r="E199" s="52">
        <f t="shared" si="27"/>
        <v>4.37</v>
      </c>
      <c r="F199" s="52">
        <f t="shared" si="28"/>
        <v>1.24</v>
      </c>
      <c r="G199" s="47">
        <f>H199/$B$9</f>
        <v>4032.2580645161293</v>
      </c>
      <c r="H199" s="47">
        <v>5000</v>
      </c>
      <c r="I199" s="47">
        <f t="shared" si="29"/>
        <v>5000</v>
      </c>
      <c r="J199" s="48" t="str">
        <f>IF(D199&lt;=15000,"Cumpărare directă",IF(D199&lt;=130000,"Cerere de Oferte","Licitaţie deschisă"))</f>
        <v>Cumpărare directă</v>
      </c>
      <c r="K199" s="49">
        <v>41275</v>
      </c>
      <c r="L199" s="49">
        <v>41639</v>
      </c>
      <c r="M199" s="48" t="s">
        <v>19</v>
      </c>
    </row>
    <row r="200" spans="1:13" ht="24">
      <c r="A200" s="48">
        <v>155</v>
      </c>
      <c r="B200" s="46" t="s">
        <v>337</v>
      </c>
      <c r="C200" s="43" t="s">
        <v>338</v>
      </c>
      <c r="D200" s="47">
        <f t="shared" si="30"/>
        <v>922.713515907581</v>
      </c>
      <c r="E200" s="52">
        <f t="shared" si="27"/>
        <v>4.37</v>
      </c>
      <c r="F200" s="52">
        <f t="shared" si="28"/>
        <v>1.24</v>
      </c>
      <c r="G200" s="47">
        <f>H200/$B$9</f>
        <v>4032.2580645161293</v>
      </c>
      <c r="H200" s="47">
        <v>5000</v>
      </c>
      <c r="I200" s="47">
        <f t="shared" si="29"/>
        <v>5000</v>
      </c>
      <c r="J200" s="48" t="str">
        <f>IF(D200&lt;=15000,"Cumpărare directă",IF(D200&lt;=130000,"Cerere de Oferte","Licitaţie deschisă"))</f>
        <v>Cumpărare directă</v>
      </c>
      <c r="K200" s="49">
        <v>41275</v>
      </c>
      <c r="L200" s="49">
        <v>41639</v>
      </c>
      <c r="M200" s="48" t="s">
        <v>19</v>
      </c>
    </row>
    <row r="201" spans="1:13" ht="12">
      <c r="A201" s="48"/>
      <c r="B201" s="67" t="s">
        <v>339</v>
      </c>
      <c r="C201" s="43"/>
      <c r="D201" s="109">
        <f aca="true" t="shared" si="31" ref="D201:I201">SUM(D202:D203)</f>
        <v>553628.1095445486</v>
      </c>
      <c r="E201" s="109">
        <f t="shared" si="31"/>
        <v>8.74</v>
      </c>
      <c r="F201" s="109">
        <f t="shared" si="31"/>
        <v>2.4800000000000004</v>
      </c>
      <c r="G201" s="109">
        <f t="shared" si="31"/>
        <v>2419354.838709677</v>
      </c>
      <c r="H201" s="109">
        <f t="shared" si="31"/>
        <v>3000000</v>
      </c>
      <c r="I201" s="109">
        <f t="shared" si="31"/>
        <v>3000000</v>
      </c>
      <c r="J201" s="34"/>
      <c r="K201" s="49"/>
      <c r="L201" s="54"/>
      <c r="M201" s="54"/>
    </row>
    <row r="202" spans="1:13" ht="60">
      <c r="A202" s="48">
        <v>156</v>
      </c>
      <c r="B202" s="46" t="s">
        <v>340</v>
      </c>
      <c r="C202" s="43" t="s">
        <v>341</v>
      </c>
      <c r="D202" s="47">
        <f t="shared" si="30"/>
        <v>538864.6932900272</v>
      </c>
      <c r="E202" s="52">
        <f t="shared" si="27"/>
        <v>4.37</v>
      </c>
      <c r="F202" s="52">
        <f t="shared" si="28"/>
        <v>1.2400000000000002</v>
      </c>
      <c r="G202" s="47">
        <f>H202/$B$9</f>
        <v>2354838.709677419</v>
      </c>
      <c r="H202" s="47">
        <v>2920000</v>
      </c>
      <c r="I202" s="47">
        <f t="shared" si="29"/>
        <v>2920000</v>
      </c>
      <c r="J202" s="48" t="s">
        <v>342</v>
      </c>
      <c r="K202" s="49">
        <v>41275</v>
      </c>
      <c r="L202" s="49">
        <v>41639</v>
      </c>
      <c r="M202" s="48" t="s">
        <v>19</v>
      </c>
    </row>
    <row r="203" spans="1:13" ht="48">
      <c r="A203" s="48">
        <v>157</v>
      </c>
      <c r="B203" s="46" t="s">
        <v>490</v>
      </c>
      <c r="C203" s="43" t="s">
        <v>489</v>
      </c>
      <c r="D203" s="47">
        <f t="shared" si="30"/>
        <v>14763.416254521297</v>
      </c>
      <c r="E203" s="52">
        <f t="shared" si="27"/>
        <v>4.37</v>
      </c>
      <c r="F203" s="52">
        <f t="shared" si="28"/>
        <v>1.24</v>
      </c>
      <c r="G203" s="47">
        <f>H203/$B$9</f>
        <v>64516.12903225807</v>
      </c>
      <c r="H203" s="47">
        <v>80000</v>
      </c>
      <c r="I203" s="47">
        <f>H203</f>
        <v>80000</v>
      </c>
      <c r="J203" s="48" t="str">
        <f>IF(D203&lt;=15000,"Cumpărare directă",IF(D203&lt;=130000,"Cerere de Oferte","Licitaţie deschisă"))</f>
        <v>Cumpărare directă</v>
      </c>
      <c r="K203" s="49">
        <v>41365</v>
      </c>
      <c r="L203" s="49">
        <v>41639</v>
      </c>
      <c r="M203" s="48" t="s">
        <v>19</v>
      </c>
    </row>
    <row r="204" spans="1:13" ht="12">
      <c r="A204" s="48"/>
      <c r="B204" s="67" t="s">
        <v>343</v>
      </c>
      <c r="C204" s="43"/>
      <c r="D204" s="109">
        <f>SUM(D205:D206)</f>
        <v>18085.184911788587</v>
      </c>
      <c r="E204" s="52">
        <f t="shared" si="27"/>
        <v>4.37</v>
      </c>
      <c r="F204" s="52">
        <f t="shared" si="28"/>
        <v>1.2400000000000002</v>
      </c>
      <c r="G204" s="109">
        <f>SUM(G205:G206)</f>
        <v>79032.25806451612</v>
      </c>
      <c r="H204" s="109">
        <f>SUM(H205:H206)</f>
        <v>98000</v>
      </c>
      <c r="I204" s="109">
        <f t="shared" si="29"/>
        <v>98000</v>
      </c>
      <c r="J204" s="34"/>
      <c r="K204" s="49"/>
      <c r="L204" s="54"/>
      <c r="M204" s="54"/>
    </row>
    <row r="205" spans="1:13" ht="60">
      <c r="A205" s="48">
        <v>158</v>
      </c>
      <c r="B205" s="46" t="s">
        <v>344</v>
      </c>
      <c r="C205" s="43" t="s">
        <v>345</v>
      </c>
      <c r="D205" s="47">
        <f t="shared" si="30"/>
        <v>16608.843286336458</v>
      </c>
      <c r="E205" s="52">
        <f t="shared" si="27"/>
        <v>4.37</v>
      </c>
      <c r="F205" s="52">
        <f t="shared" si="28"/>
        <v>1.24</v>
      </c>
      <c r="G205" s="47">
        <f>H205/$B$9</f>
        <v>72580.64516129032</v>
      </c>
      <c r="H205" s="47">
        <v>90000</v>
      </c>
      <c r="I205" s="47">
        <f t="shared" si="29"/>
        <v>90000</v>
      </c>
      <c r="J205" s="48" t="s">
        <v>312</v>
      </c>
      <c r="K205" s="49">
        <v>41275</v>
      </c>
      <c r="L205" s="49">
        <v>41639</v>
      </c>
      <c r="M205" s="48" t="s">
        <v>19</v>
      </c>
    </row>
    <row r="206" spans="1:13" ht="60">
      <c r="A206" s="48">
        <v>159</v>
      </c>
      <c r="B206" s="46" t="s">
        <v>346</v>
      </c>
      <c r="C206" s="43" t="s">
        <v>347</v>
      </c>
      <c r="D206" s="47">
        <f t="shared" si="30"/>
        <v>1476.3416254521296</v>
      </c>
      <c r="E206" s="52">
        <f t="shared" si="27"/>
        <v>4.37</v>
      </c>
      <c r="F206" s="52">
        <f t="shared" si="28"/>
        <v>1.24</v>
      </c>
      <c r="G206" s="47">
        <f>H206/$B$9</f>
        <v>6451.612903225807</v>
      </c>
      <c r="H206" s="47">
        <v>8000</v>
      </c>
      <c r="I206" s="47">
        <f t="shared" si="29"/>
        <v>8000</v>
      </c>
      <c r="J206" s="48" t="s">
        <v>312</v>
      </c>
      <c r="K206" s="49">
        <v>41275</v>
      </c>
      <c r="L206" s="49">
        <v>41639</v>
      </c>
      <c r="M206" s="48" t="s">
        <v>19</v>
      </c>
    </row>
    <row r="207" spans="1:13" ht="12">
      <c r="A207" s="48"/>
      <c r="B207" s="67" t="s">
        <v>348</v>
      </c>
      <c r="C207" s="43"/>
      <c r="D207" s="109">
        <f>D208+D211+D250+D252</f>
        <v>295633.5342341478</v>
      </c>
      <c r="E207" s="52">
        <f t="shared" si="27"/>
        <v>4.370000028075299</v>
      </c>
      <c r="F207" s="52">
        <f t="shared" si="28"/>
        <v>1.2454182938887823</v>
      </c>
      <c r="G207" s="109">
        <f>G208+G211+G250+G252</f>
        <v>1291918.5529032256</v>
      </c>
      <c r="H207" s="109">
        <f>H208+H211+H250+H252</f>
        <v>1608979</v>
      </c>
      <c r="I207" s="109">
        <f t="shared" si="29"/>
        <v>1608979</v>
      </c>
      <c r="J207" s="34"/>
      <c r="K207" s="49"/>
      <c r="L207" s="54"/>
      <c r="M207" s="54"/>
    </row>
    <row r="208" spans="1:13" ht="12">
      <c r="A208" s="48"/>
      <c r="B208" s="53" t="s">
        <v>349</v>
      </c>
      <c r="C208" s="43"/>
      <c r="D208" s="109">
        <f>SUM(D209:D210)</f>
        <v>9042.592455894293</v>
      </c>
      <c r="E208" s="52">
        <f t="shared" si="27"/>
        <v>4.37</v>
      </c>
      <c r="F208" s="52">
        <f t="shared" si="28"/>
        <v>1.2400000000000002</v>
      </c>
      <c r="G208" s="109">
        <f>SUM(G209:G210)</f>
        <v>39516.12903225806</v>
      </c>
      <c r="H208" s="109">
        <f>SUM(H209:H210)</f>
        <v>49000</v>
      </c>
      <c r="I208" s="109">
        <f t="shared" si="29"/>
        <v>49000</v>
      </c>
      <c r="J208" s="34"/>
      <c r="K208" s="49"/>
      <c r="L208" s="54"/>
      <c r="M208" s="54"/>
    </row>
    <row r="209" spans="1:13" ht="24">
      <c r="A209" s="48">
        <v>160</v>
      </c>
      <c r="B209" s="46" t="s">
        <v>350</v>
      </c>
      <c r="C209" s="43" t="s">
        <v>351</v>
      </c>
      <c r="D209" s="47">
        <f>G209/$B$8</f>
        <v>3506.3113604488076</v>
      </c>
      <c r="E209" s="52">
        <f t="shared" si="27"/>
        <v>4.37</v>
      </c>
      <c r="F209" s="52">
        <f t="shared" si="28"/>
        <v>1.24</v>
      </c>
      <c r="G209" s="47">
        <f>H209/$B$9</f>
        <v>15322.58064516129</v>
      </c>
      <c r="H209" s="47">
        <v>19000</v>
      </c>
      <c r="I209" s="47">
        <f>H209</f>
        <v>19000</v>
      </c>
      <c r="J209" s="48" t="str">
        <f>IF(D209&lt;=15000,"Cumpărare directă",IF(D209&lt;=130000,"Cerere de Oferte","Licitaţie deschisă"))</f>
        <v>Cumpărare directă</v>
      </c>
      <c r="K209" s="49">
        <v>41275</v>
      </c>
      <c r="L209" s="49">
        <v>41639</v>
      </c>
      <c r="M209" s="48" t="s">
        <v>19</v>
      </c>
    </row>
    <row r="210" spans="1:13" ht="24">
      <c r="A210" s="48">
        <v>161</v>
      </c>
      <c r="B210" s="46" t="s">
        <v>352</v>
      </c>
      <c r="C210" s="43" t="s">
        <v>353</v>
      </c>
      <c r="D210" s="47">
        <f>G210/$B$8</f>
        <v>5536.281095445485</v>
      </c>
      <c r="E210" s="52">
        <f t="shared" si="27"/>
        <v>4.37</v>
      </c>
      <c r="F210" s="52">
        <f t="shared" si="28"/>
        <v>1.24</v>
      </c>
      <c r="G210" s="47">
        <f>H210/$B$9</f>
        <v>24193.548387096773</v>
      </c>
      <c r="H210" s="47">
        <v>30000</v>
      </c>
      <c r="I210" s="47">
        <f>H210</f>
        <v>30000</v>
      </c>
      <c r="J210" s="48" t="str">
        <f>IF(D210&lt;=15000,"Cumpărare directă",IF(D210&lt;=130000,"Cerere de Oferte","Licitaţie deschisă"))</f>
        <v>Cumpărare directă</v>
      </c>
      <c r="K210" s="49">
        <v>41275</v>
      </c>
      <c r="L210" s="49">
        <v>41639</v>
      </c>
      <c r="M210" s="48" t="s">
        <v>19</v>
      </c>
    </row>
    <row r="211" spans="1:13" ht="12">
      <c r="A211" s="48"/>
      <c r="B211" s="53" t="s">
        <v>354</v>
      </c>
      <c r="C211" s="43"/>
      <c r="D211" s="109">
        <f>D212+D230</f>
        <v>28973.204399498045</v>
      </c>
      <c r="E211" s="52">
        <f t="shared" si="27"/>
        <v>4.37</v>
      </c>
      <c r="F211" s="52">
        <f t="shared" si="28"/>
        <v>1.2399999999999998</v>
      </c>
      <c r="G211" s="109">
        <f>G212+G230</f>
        <v>126612.90322580647</v>
      </c>
      <c r="H211" s="109">
        <f>H212+H230</f>
        <v>157000</v>
      </c>
      <c r="I211" s="109">
        <f t="shared" si="29"/>
        <v>157000</v>
      </c>
      <c r="J211" s="34"/>
      <c r="K211" s="49"/>
      <c r="L211" s="54"/>
      <c r="M211" s="54"/>
    </row>
    <row r="212" spans="1:13" ht="33" customHeight="1">
      <c r="A212" s="48"/>
      <c r="B212" s="70" t="s">
        <v>355</v>
      </c>
      <c r="C212" s="43"/>
      <c r="D212" s="109">
        <f>SUM(D213:D229)</f>
        <v>2771.831401786373</v>
      </c>
      <c r="E212" s="52">
        <f t="shared" si="27"/>
        <v>4.370000000000001</v>
      </c>
      <c r="F212" s="52">
        <f t="shared" si="28"/>
        <v>1.24</v>
      </c>
      <c r="G212" s="109">
        <f>SUM(G213:G229)</f>
        <v>12112.903225806453</v>
      </c>
      <c r="H212" s="109">
        <f>SUM(H213:H229)</f>
        <v>15020</v>
      </c>
      <c r="I212" s="109">
        <f t="shared" si="29"/>
        <v>15020</v>
      </c>
      <c r="J212" s="34"/>
      <c r="K212" s="49"/>
      <c r="L212" s="54"/>
      <c r="M212" s="54"/>
    </row>
    <row r="213" spans="1:13" ht="26.25" customHeight="1">
      <c r="A213" s="48">
        <v>162</v>
      </c>
      <c r="B213" s="46" t="s">
        <v>356</v>
      </c>
      <c r="C213" s="43" t="s">
        <v>357</v>
      </c>
      <c r="D213" s="47">
        <f aca="true" t="shared" si="32" ref="D213:D251">G213/$B$8</f>
        <v>184.5427031815162</v>
      </c>
      <c r="E213" s="52">
        <f t="shared" si="27"/>
        <v>4.37</v>
      </c>
      <c r="F213" s="52">
        <f t="shared" si="28"/>
        <v>1.24</v>
      </c>
      <c r="G213" s="47">
        <f aca="true" t="shared" si="33" ref="G213:G229">H213/$B$9</f>
        <v>806.4516129032259</v>
      </c>
      <c r="H213" s="47">
        <v>1000</v>
      </c>
      <c r="I213" s="47">
        <f t="shared" si="29"/>
        <v>1000</v>
      </c>
      <c r="J213" s="48" t="str">
        <f>IF(D213&lt;=15000,"Cumpărare directă",IF(D213&lt;=130000,"Cerere de Oferte","Licitaţie deschisă"))</f>
        <v>Cumpărare directă</v>
      </c>
      <c r="K213" s="49">
        <v>41275</v>
      </c>
      <c r="L213" s="49">
        <v>41639</v>
      </c>
      <c r="M213" s="48" t="s">
        <v>19</v>
      </c>
    </row>
    <row r="214" spans="1:13" ht="24">
      <c r="A214" s="48">
        <v>163</v>
      </c>
      <c r="B214" s="46" t="s">
        <v>358</v>
      </c>
      <c r="C214" s="43" t="s">
        <v>359</v>
      </c>
      <c r="D214" s="47">
        <f t="shared" si="32"/>
        <v>18.454270318151618</v>
      </c>
      <c r="E214" s="52">
        <f t="shared" si="27"/>
        <v>4.37</v>
      </c>
      <c r="F214" s="52">
        <f t="shared" si="28"/>
        <v>1.24</v>
      </c>
      <c r="G214" s="47">
        <f t="shared" si="33"/>
        <v>80.64516129032258</v>
      </c>
      <c r="H214" s="47">
        <v>100</v>
      </c>
      <c r="I214" s="47">
        <f t="shared" si="29"/>
        <v>100</v>
      </c>
      <c r="J214" s="48" t="str">
        <f aca="true" t="shared" si="34" ref="J214:J229">IF(D214&lt;=15000,"Cumpărare directă",IF(D214&lt;=130000,"Cerere de Oferte","Licitaţie deschisă"))</f>
        <v>Cumpărare directă</v>
      </c>
      <c r="K214" s="49">
        <v>41275</v>
      </c>
      <c r="L214" s="49">
        <v>41639</v>
      </c>
      <c r="M214" s="48" t="s">
        <v>19</v>
      </c>
    </row>
    <row r="215" spans="1:13" ht="24">
      <c r="A215" s="48">
        <v>164</v>
      </c>
      <c r="B215" s="46" t="s">
        <v>360</v>
      </c>
      <c r="C215" s="43" t="s">
        <v>361</v>
      </c>
      <c r="D215" s="47">
        <f t="shared" si="32"/>
        <v>527.7921310991363</v>
      </c>
      <c r="E215" s="52">
        <f t="shared" si="27"/>
        <v>4.37</v>
      </c>
      <c r="F215" s="52">
        <f t="shared" si="28"/>
        <v>1.24</v>
      </c>
      <c r="G215" s="47">
        <f t="shared" si="33"/>
        <v>2306.451612903226</v>
      </c>
      <c r="H215" s="47">
        <v>2860</v>
      </c>
      <c r="I215" s="47">
        <f t="shared" si="29"/>
        <v>2860</v>
      </c>
      <c r="J215" s="48" t="str">
        <f t="shared" si="34"/>
        <v>Cumpărare directă</v>
      </c>
      <c r="K215" s="49">
        <v>41275</v>
      </c>
      <c r="L215" s="49">
        <v>41639</v>
      </c>
      <c r="M215" s="48" t="s">
        <v>19</v>
      </c>
    </row>
    <row r="216" spans="1:13" ht="24">
      <c r="A216" s="48">
        <v>165</v>
      </c>
      <c r="B216" s="46" t="s">
        <v>362</v>
      </c>
      <c r="C216" s="43" t="s">
        <v>363</v>
      </c>
      <c r="D216" s="47">
        <f t="shared" si="32"/>
        <v>73.81708127260647</v>
      </c>
      <c r="E216" s="52">
        <f t="shared" si="27"/>
        <v>4.37</v>
      </c>
      <c r="F216" s="52">
        <f t="shared" si="28"/>
        <v>1.24</v>
      </c>
      <c r="G216" s="47">
        <f t="shared" si="33"/>
        <v>322.5806451612903</v>
      </c>
      <c r="H216" s="47">
        <v>400</v>
      </c>
      <c r="I216" s="47">
        <f t="shared" si="29"/>
        <v>400</v>
      </c>
      <c r="J216" s="48" t="str">
        <f t="shared" si="34"/>
        <v>Cumpărare directă</v>
      </c>
      <c r="K216" s="49">
        <v>41275</v>
      </c>
      <c r="L216" s="49">
        <v>41639</v>
      </c>
      <c r="M216" s="48" t="s">
        <v>19</v>
      </c>
    </row>
    <row r="217" spans="1:13" ht="24">
      <c r="A217" s="48">
        <v>166</v>
      </c>
      <c r="B217" s="46" t="s">
        <v>364</v>
      </c>
      <c r="C217" s="43" t="s">
        <v>365</v>
      </c>
      <c r="D217" s="47">
        <f t="shared" si="32"/>
        <v>92.2713515907581</v>
      </c>
      <c r="E217" s="52">
        <f t="shared" si="27"/>
        <v>4.37</v>
      </c>
      <c r="F217" s="52">
        <f t="shared" si="28"/>
        <v>1.24</v>
      </c>
      <c r="G217" s="47">
        <f t="shared" si="33"/>
        <v>403.2258064516129</v>
      </c>
      <c r="H217" s="47">
        <v>500</v>
      </c>
      <c r="I217" s="47">
        <f t="shared" si="29"/>
        <v>500</v>
      </c>
      <c r="J217" s="48" t="str">
        <f t="shared" si="34"/>
        <v>Cumpărare directă</v>
      </c>
      <c r="K217" s="49">
        <v>41275</v>
      </c>
      <c r="L217" s="49">
        <v>41639</v>
      </c>
      <c r="M217" s="48" t="s">
        <v>19</v>
      </c>
    </row>
    <row r="218" spans="1:13" ht="24">
      <c r="A218" s="48">
        <v>167</v>
      </c>
      <c r="B218" s="46" t="s">
        <v>366</v>
      </c>
      <c r="C218" s="43" t="s">
        <v>367</v>
      </c>
      <c r="D218" s="47">
        <f t="shared" si="32"/>
        <v>36.908540636303236</v>
      </c>
      <c r="E218" s="52">
        <f t="shared" si="27"/>
        <v>4.37</v>
      </c>
      <c r="F218" s="52">
        <f t="shared" si="28"/>
        <v>1.24</v>
      </c>
      <c r="G218" s="47">
        <f t="shared" si="33"/>
        <v>161.29032258064515</v>
      </c>
      <c r="H218" s="47">
        <v>200</v>
      </c>
      <c r="I218" s="47">
        <f t="shared" si="29"/>
        <v>200</v>
      </c>
      <c r="J218" s="48" t="str">
        <f t="shared" si="34"/>
        <v>Cumpărare directă</v>
      </c>
      <c r="K218" s="49">
        <v>41275</v>
      </c>
      <c r="L218" s="49">
        <v>41639</v>
      </c>
      <c r="M218" s="48" t="s">
        <v>19</v>
      </c>
    </row>
    <row r="219" spans="1:13" ht="24">
      <c r="A219" s="48">
        <v>168</v>
      </c>
      <c r="B219" s="46" t="s">
        <v>368</v>
      </c>
      <c r="C219" s="43" t="s">
        <v>369</v>
      </c>
      <c r="D219" s="47">
        <f t="shared" si="32"/>
        <v>369.0854063630324</v>
      </c>
      <c r="E219" s="52">
        <f t="shared" si="27"/>
        <v>4.37</v>
      </c>
      <c r="F219" s="52">
        <f t="shared" si="28"/>
        <v>1.24</v>
      </c>
      <c r="G219" s="47">
        <f t="shared" si="33"/>
        <v>1612.9032258064517</v>
      </c>
      <c r="H219" s="47">
        <v>2000</v>
      </c>
      <c r="I219" s="47">
        <f t="shared" si="29"/>
        <v>2000</v>
      </c>
      <c r="J219" s="48" t="str">
        <f t="shared" si="34"/>
        <v>Cumpărare directă</v>
      </c>
      <c r="K219" s="49">
        <v>41275</v>
      </c>
      <c r="L219" s="49">
        <v>41639</v>
      </c>
      <c r="M219" s="48" t="s">
        <v>19</v>
      </c>
    </row>
    <row r="220" spans="1:13" ht="24">
      <c r="A220" s="48">
        <v>169</v>
      </c>
      <c r="B220" s="46" t="s">
        <v>370</v>
      </c>
      <c r="C220" s="43" t="s">
        <v>371</v>
      </c>
      <c r="D220" s="47">
        <f t="shared" si="32"/>
        <v>230.67837897689526</v>
      </c>
      <c r="E220" s="52">
        <f t="shared" si="27"/>
        <v>4.37</v>
      </c>
      <c r="F220" s="52">
        <f t="shared" si="28"/>
        <v>1.24</v>
      </c>
      <c r="G220" s="47">
        <f t="shared" si="33"/>
        <v>1008.0645161290323</v>
      </c>
      <c r="H220" s="47">
        <v>1250</v>
      </c>
      <c r="I220" s="47">
        <f t="shared" si="29"/>
        <v>1250</v>
      </c>
      <c r="J220" s="48" t="str">
        <f t="shared" si="34"/>
        <v>Cumpărare directă</v>
      </c>
      <c r="K220" s="49">
        <v>41275</v>
      </c>
      <c r="L220" s="49">
        <v>41639</v>
      </c>
      <c r="M220" s="48" t="s">
        <v>19</v>
      </c>
    </row>
    <row r="221" spans="1:13" ht="24">
      <c r="A221" s="48">
        <v>170</v>
      </c>
      <c r="B221" s="46" t="s">
        <v>372</v>
      </c>
      <c r="C221" s="43" t="s">
        <v>373</v>
      </c>
      <c r="D221" s="47">
        <f t="shared" si="32"/>
        <v>20.29969734996678</v>
      </c>
      <c r="E221" s="52">
        <f t="shared" si="27"/>
        <v>4.37</v>
      </c>
      <c r="F221" s="52">
        <f t="shared" si="28"/>
        <v>1.24</v>
      </c>
      <c r="G221" s="47">
        <f t="shared" si="33"/>
        <v>88.70967741935483</v>
      </c>
      <c r="H221" s="47">
        <v>110</v>
      </c>
      <c r="I221" s="47">
        <f t="shared" si="29"/>
        <v>110</v>
      </c>
      <c r="J221" s="48" t="str">
        <f t="shared" si="34"/>
        <v>Cumpărare directă</v>
      </c>
      <c r="K221" s="49">
        <v>41275</v>
      </c>
      <c r="L221" s="49">
        <v>41639</v>
      </c>
      <c r="M221" s="48" t="s">
        <v>19</v>
      </c>
    </row>
    <row r="222" spans="1:13" ht="33" customHeight="1">
      <c r="A222" s="48">
        <v>171</v>
      </c>
      <c r="B222" s="46" t="s">
        <v>374</v>
      </c>
      <c r="C222" s="43" t="s">
        <v>375</v>
      </c>
      <c r="D222" s="47">
        <f t="shared" si="32"/>
        <v>36.908540636303236</v>
      </c>
      <c r="E222" s="52">
        <f t="shared" si="27"/>
        <v>4.37</v>
      </c>
      <c r="F222" s="52">
        <f t="shared" si="28"/>
        <v>1.24</v>
      </c>
      <c r="G222" s="47">
        <f t="shared" si="33"/>
        <v>161.29032258064515</v>
      </c>
      <c r="H222" s="47">
        <v>200</v>
      </c>
      <c r="I222" s="47">
        <f t="shared" si="29"/>
        <v>200</v>
      </c>
      <c r="J222" s="48" t="str">
        <f t="shared" si="34"/>
        <v>Cumpărare directă</v>
      </c>
      <c r="K222" s="49">
        <v>41275</v>
      </c>
      <c r="L222" s="49">
        <v>41639</v>
      </c>
      <c r="M222" s="48" t="s">
        <v>19</v>
      </c>
    </row>
    <row r="223" spans="1:13" ht="24">
      <c r="A223" s="48">
        <v>172</v>
      </c>
      <c r="B223" s="46" t="s">
        <v>376</v>
      </c>
      <c r="C223" s="43" t="s">
        <v>377</v>
      </c>
      <c r="D223" s="47">
        <f t="shared" si="32"/>
        <v>184.5427031815162</v>
      </c>
      <c r="E223" s="52">
        <f aca="true" t="shared" si="35" ref="E223:E273">G223/D223</f>
        <v>4.37</v>
      </c>
      <c r="F223" s="52">
        <f t="shared" si="28"/>
        <v>1.24</v>
      </c>
      <c r="G223" s="47">
        <f t="shared" si="33"/>
        <v>806.4516129032259</v>
      </c>
      <c r="H223" s="47">
        <v>1000</v>
      </c>
      <c r="I223" s="47">
        <f t="shared" si="29"/>
        <v>1000</v>
      </c>
      <c r="J223" s="48" t="str">
        <f t="shared" si="34"/>
        <v>Cumpărare directă</v>
      </c>
      <c r="K223" s="49">
        <v>41275</v>
      </c>
      <c r="L223" s="49">
        <v>41639</v>
      </c>
      <c r="M223" s="48" t="s">
        <v>19</v>
      </c>
    </row>
    <row r="224" spans="1:13" ht="24">
      <c r="A224" s="48">
        <v>173</v>
      </c>
      <c r="B224" s="46" t="s">
        <v>378</v>
      </c>
      <c r="C224" s="43" t="s">
        <v>379</v>
      </c>
      <c r="D224" s="47">
        <f t="shared" si="32"/>
        <v>369.0854063630324</v>
      </c>
      <c r="E224" s="52">
        <f t="shared" si="35"/>
        <v>4.37</v>
      </c>
      <c r="F224" s="52">
        <f t="shared" si="28"/>
        <v>1.24</v>
      </c>
      <c r="G224" s="47">
        <f t="shared" si="33"/>
        <v>1612.9032258064517</v>
      </c>
      <c r="H224" s="47">
        <v>2000</v>
      </c>
      <c r="I224" s="47">
        <f aca="true" t="shared" si="36" ref="I224:I275">H224</f>
        <v>2000</v>
      </c>
      <c r="J224" s="48" t="str">
        <f t="shared" si="34"/>
        <v>Cumpărare directă</v>
      </c>
      <c r="K224" s="49">
        <v>41275</v>
      </c>
      <c r="L224" s="49">
        <v>41639</v>
      </c>
      <c r="M224" s="48" t="s">
        <v>19</v>
      </c>
    </row>
    <row r="225" spans="1:13" ht="24">
      <c r="A225" s="48">
        <v>174</v>
      </c>
      <c r="B225" s="46" t="s">
        <v>380</v>
      </c>
      <c r="C225" s="43" t="s">
        <v>381</v>
      </c>
      <c r="D225" s="47">
        <f t="shared" si="32"/>
        <v>369.0854063630324</v>
      </c>
      <c r="E225" s="52">
        <f t="shared" si="35"/>
        <v>4.37</v>
      </c>
      <c r="F225" s="52">
        <f aca="true" t="shared" si="37" ref="F225:F273">H225/G225</f>
        <v>1.24</v>
      </c>
      <c r="G225" s="47">
        <f t="shared" si="33"/>
        <v>1612.9032258064517</v>
      </c>
      <c r="H225" s="47">
        <v>2000</v>
      </c>
      <c r="I225" s="47">
        <f t="shared" si="36"/>
        <v>2000</v>
      </c>
      <c r="J225" s="48" t="str">
        <f t="shared" si="34"/>
        <v>Cumpărare directă</v>
      </c>
      <c r="K225" s="49">
        <v>41275</v>
      </c>
      <c r="L225" s="49">
        <v>41639</v>
      </c>
      <c r="M225" s="48" t="s">
        <v>19</v>
      </c>
    </row>
    <row r="226" spans="1:13" ht="24" customHeight="1">
      <c r="A226" s="48">
        <v>175</v>
      </c>
      <c r="B226" s="46" t="s">
        <v>382</v>
      </c>
      <c r="C226" s="43" t="s">
        <v>383</v>
      </c>
      <c r="D226" s="47">
        <f t="shared" si="32"/>
        <v>55.36281095445486</v>
      </c>
      <c r="E226" s="52">
        <f t="shared" si="35"/>
        <v>4.37</v>
      </c>
      <c r="F226" s="52">
        <f t="shared" si="37"/>
        <v>1.24</v>
      </c>
      <c r="G226" s="47">
        <f t="shared" si="33"/>
        <v>241.93548387096774</v>
      </c>
      <c r="H226" s="47">
        <v>300</v>
      </c>
      <c r="I226" s="47">
        <f t="shared" si="36"/>
        <v>300</v>
      </c>
      <c r="J226" s="48" t="str">
        <f>IF(D226&lt;=15000,"Cumpărare directă",IF(D226&lt;=130000,"Cerere de Oferte","Licitaţie deschisă"))</f>
        <v>Cumpărare directă</v>
      </c>
      <c r="K226" s="49">
        <v>41275</v>
      </c>
      <c r="L226" s="49">
        <v>41639</v>
      </c>
      <c r="M226" s="48" t="s">
        <v>19</v>
      </c>
    </row>
    <row r="227" spans="1:13" ht="24">
      <c r="A227" s="48">
        <v>176</v>
      </c>
      <c r="B227" s="46" t="s">
        <v>384</v>
      </c>
      <c r="C227" s="43" t="s">
        <v>385</v>
      </c>
      <c r="D227" s="47">
        <f t="shared" si="32"/>
        <v>18.454270318151618</v>
      </c>
      <c r="E227" s="52">
        <f t="shared" si="35"/>
        <v>4.37</v>
      </c>
      <c r="F227" s="52">
        <f t="shared" si="37"/>
        <v>1.24</v>
      </c>
      <c r="G227" s="47">
        <f t="shared" si="33"/>
        <v>80.64516129032258</v>
      </c>
      <c r="H227" s="47">
        <v>100</v>
      </c>
      <c r="I227" s="47">
        <f t="shared" si="36"/>
        <v>100</v>
      </c>
      <c r="J227" s="48" t="str">
        <f t="shared" si="34"/>
        <v>Cumpărare directă</v>
      </c>
      <c r="K227" s="49">
        <v>41275</v>
      </c>
      <c r="L227" s="49">
        <v>41639</v>
      </c>
      <c r="M227" s="48" t="s">
        <v>19</v>
      </c>
    </row>
    <row r="228" spans="1:13" ht="30" customHeight="1">
      <c r="A228" s="48">
        <v>177</v>
      </c>
      <c r="B228" s="46" t="s">
        <v>386</v>
      </c>
      <c r="C228" s="46" t="s">
        <v>387</v>
      </c>
      <c r="D228" s="47">
        <f>G228/$B$8</f>
        <v>92.2713515907581</v>
      </c>
      <c r="E228" s="52">
        <f t="shared" si="35"/>
        <v>4.37</v>
      </c>
      <c r="F228" s="52">
        <f t="shared" si="37"/>
        <v>1.24</v>
      </c>
      <c r="G228" s="47">
        <f t="shared" si="33"/>
        <v>403.2258064516129</v>
      </c>
      <c r="H228" s="47">
        <v>500</v>
      </c>
      <c r="I228" s="47">
        <f t="shared" si="36"/>
        <v>500</v>
      </c>
      <c r="J228" s="48" t="str">
        <f t="shared" si="34"/>
        <v>Cumpărare directă</v>
      </c>
      <c r="K228" s="49">
        <v>41275</v>
      </c>
      <c r="L228" s="49">
        <v>41639</v>
      </c>
      <c r="M228" s="48" t="s">
        <v>19</v>
      </c>
    </row>
    <row r="229" spans="1:13" ht="24">
      <c r="A229" s="48">
        <v>178</v>
      </c>
      <c r="B229" s="46" t="s">
        <v>388</v>
      </c>
      <c r="C229" s="43" t="s">
        <v>389</v>
      </c>
      <c r="D229" s="47">
        <f t="shared" si="32"/>
        <v>92.2713515907581</v>
      </c>
      <c r="E229" s="52">
        <f t="shared" si="35"/>
        <v>4.37</v>
      </c>
      <c r="F229" s="52">
        <f t="shared" si="37"/>
        <v>1.24</v>
      </c>
      <c r="G229" s="47">
        <f t="shared" si="33"/>
        <v>403.2258064516129</v>
      </c>
      <c r="H229" s="47">
        <v>500</v>
      </c>
      <c r="I229" s="47">
        <f t="shared" si="36"/>
        <v>500</v>
      </c>
      <c r="J229" s="48" t="str">
        <f t="shared" si="34"/>
        <v>Cumpărare directă</v>
      </c>
      <c r="K229" s="49">
        <v>41275</v>
      </c>
      <c r="L229" s="49">
        <v>41639</v>
      </c>
      <c r="M229" s="48" t="s">
        <v>19</v>
      </c>
    </row>
    <row r="230" spans="1:13" ht="24">
      <c r="A230" s="48"/>
      <c r="B230" s="70" t="s">
        <v>390</v>
      </c>
      <c r="C230" s="43"/>
      <c r="D230" s="109">
        <f>SUM(D231:D247)</f>
        <v>26201.37299771167</v>
      </c>
      <c r="E230" s="52">
        <f t="shared" si="35"/>
        <v>4.37</v>
      </c>
      <c r="F230" s="52">
        <f t="shared" si="37"/>
        <v>1.2399999999999998</v>
      </c>
      <c r="G230" s="109">
        <f>SUM(G231:G247)</f>
        <v>114500.00000000001</v>
      </c>
      <c r="H230" s="109">
        <f>SUM(H231:H247)</f>
        <v>141980</v>
      </c>
      <c r="I230" s="109">
        <f t="shared" si="36"/>
        <v>141980</v>
      </c>
      <c r="J230" s="34"/>
      <c r="K230" s="49"/>
      <c r="L230" s="54"/>
      <c r="M230" s="54"/>
    </row>
    <row r="231" spans="1:13" ht="19.5" customHeight="1">
      <c r="A231" s="48">
        <v>179</v>
      </c>
      <c r="B231" s="46" t="s">
        <v>356</v>
      </c>
      <c r="C231" s="43" t="s">
        <v>391</v>
      </c>
      <c r="D231" s="47">
        <f t="shared" si="32"/>
        <v>431.0917546320219</v>
      </c>
      <c r="E231" s="52">
        <f t="shared" si="35"/>
        <v>4.37</v>
      </c>
      <c r="F231" s="52">
        <f t="shared" si="37"/>
        <v>1.24</v>
      </c>
      <c r="G231" s="47">
        <f aca="true" t="shared" si="38" ref="G231:G247">H231/$B$9</f>
        <v>1883.8709677419356</v>
      </c>
      <c r="H231" s="47">
        <f>2580-244</f>
        <v>2336</v>
      </c>
      <c r="I231" s="47">
        <f t="shared" si="36"/>
        <v>2336</v>
      </c>
      <c r="J231" s="48" t="str">
        <f>IF(D231&lt;=15000,"Cumpărare directă",IF(D231&lt;=130000,"Cerere de Oferte","Licitaţie deschisă"))</f>
        <v>Cumpărare directă</v>
      </c>
      <c r="K231" s="49">
        <v>41275</v>
      </c>
      <c r="L231" s="49">
        <v>41639</v>
      </c>
      <c r="M231" s="48" t="s">
        <v>19</v>
      </c>
    </row>
    <row r="232" spans="1:13" ht="24" customHeight="1">
      <c r="A232" s="48">
        <v>180</v>
      </c>
      <c r="B232" s="46" t="s">
        <v>358</v>
      </c>
      <c r="C232" s="43" t="s">
        <v>359</v>
      </c>
      <c r="D232" s="47">
        <f t="shared" si="32"/>
        <v>36.908540636303236</v>
      </c>
      <c r="E232" s="52">
        <f t="shared" si="35"/>
        <v>4.37</v>
      </c>
      <c r="F232" s="52">
        <f t="shared" si="37"/>
        <v>1.24</v>
      </c>
      <c r="G232" s="47">
        <f t="shared" si="38"/>
        <v>161.29032258064515</v>
      </c>
      <c r="H232" s="47">
        <v>200</v>
      </c>
      <c r="I232" s="47">
        <f t="shared" si="36"/>
        <v>200</v>
      </c>
      <c r="J232" s="48" t="str">
        <f aca="true" t="shared" si="39" ref="J232:J238">IF(D232&lt;=15000,"Cumpărare directă",IF(D232&lt;=130000,"Cerere de Oferte","Licitaţie deschisă"))</f>
        <v>Cumpărare directă</v>
      </c>
      <c r="K232" s="49">
        <v>41275</v>
      </c>
      <c r="L232" s="49">
        <v>41639</v>
      </c>
      <c r="M232" s="48" t="s">
        <v>19</v>
      </c>
    </row>
    <row r="233" spans="1:13" ht="24">
      <c r="A233" s="48">
        <v>181</v>
      </c>
      <c r="B233" s="46" t="s">
        <v>360</v>
      </c>
      <c r="C233" s="43" t="s">
        <v>361</v>
      </c>
      <c r="D233" s="47">
        <f t="shared" si="32"/>
        <v>369.0854063630324</v>
      </c>
      <c r="E233" s="52">
        <f t="shared" si="35"/>
        <v>4.37</v>
      </c>
      <c r="F233" s="52">
        <f t="shared" si="37"/>
        <v>1.24</v>
      </c>
      <c r="G233" s="47">
        <f t="shared" si="38"/>
        <v>1612.9032258064517</v>
      </c>
      <c r="H233" s="47">
        <v>2000</v>
      </c>
      <c r="I233" s="47">
        <f t="shared" si="36"/>
        <v>2000</v>
      </c>
      <c r="J233" s="48" t="str">
        <f t="shared" si="39"/>
        <v>Cumpărare directă</v>
      </c>
      <c r="K233" s="49">
        <v>41275</v>
      </c>
      <c r="L233" s="49">
        <v>41639</v>
      </c>
      <c r="M233" s="48" t="s">
        <v>19</v>
      </c>
    </row>
    <row r="234" spans="1:13" ht="24">
      <c r="A234" s="48">
        <v>182</v>
      </c>
      <c r="B234" s="46" t="s">
        <v>362</v>
      </c>
      <c r="C234" s="43" t="s">
        <v>363</v>
      </c>
      <c r="D234" s="47">
        <f t="shared" si="32"/>
        <v>129.17989222706134</v>
      </c>
      <c r="E234" s="52">
        <f t="shared" si="35"/>
        <v>4.37</v>
      </c>
      <c r="F234" s="52">
        <f t="shared" si="37"/>
        <v>1.24</v>
      </c>
      <c r="G234" s="47">
        <f t="shared" si="38"/>
        <v>564.516129032258</v>
      </c>
      <c r="H234" s="47">
        <v>700</v>
      </c>
      <c r="I234" s="47">
        <f t="shared" si="36"/>
        <v>700</v>
      </c>
      <c r="J234" s="48" t="str">
        <f t="shared" si="39"/>
        <v>Cumpărare directă</v>
      </c>
      <c r="K234" s="49">
        <v>41275</v>
      </c>
      <c r="L234" s="49">
        <v>41639</v>
      </c>
      <c r="M234" s="48" t="s">
        <v>19</v>
      </c>
    </row>
    <row r="235" spans="1:13" ht="28.5" customHeight="1">
      <c r="A235" s="48">
        <v>183</v>
      </c>
      <c r="B235" s="46" t="s">
        <v>392</v>
      </c>
      <c r="C235" s="43" t="s">
        <v>393</v>
      </c>
      <c r="D235" s="47">
        <f t="shared" si="32"/>
        <v>184.5427031815162</v>
      </c>
      <c r="E235" s="52">
        <f t="shared" si="35"/>
        <v>4.37</v>
      </c>
      <c r="F235" s="52">
        <f t="shared" si="37"/>
        <v>1.24</v>
      </c>
      <c r="G235" s="47">
        <f t="shared" si="38"/>
        <v>806.4516129032259</v>
      </c>
      <c r="H235" s="47">
        <v>1000</v>
      </c>
      <c r="I235" s="47">
        <f t="shared" si="36"/>
        <v>1000</v>
      </c>
      <c r="J235" s="48" t="str">
        <f t="shared" si="39"/>
        <v>Cumpărare directă</v>
      </c>
      <c r="K235" s="49">
        <v>41275</v>
      </c>
      <c r="L235" s="49">
        <v>41639</v>
      </c>
      <c r="M235" s="48" t="s">
        <v>19</v>
      </c>
    </row>
    <row r="236" spans="1:13" ht="26.25" customHeight="1">
      <c r="A236" s="48">
        <v>184</v>
      </c>
      <c r="B236" s="46" t="s">
        <v>368</v>
      </c>
      <c r="C236" s="43" t="s">
        <v>369</v>
      </c>
      <c r="D236" s="47">
        <f t="shared" si="32"/>
        <v>1107.2562190890972</v>
      </c>
      <c r="E236" s="52">
        <f t="shared" si="35"/>
        <v>4.37</v>
      </c>
      <c r="F236" s="52">
        <f t="shared" si="37"/>
        <v>1.24</v>
      </c>
      <c r="G236" s="47">
        <f t="shared" si="38"/>
        <v>4838.709677419355</v>
      </c>
      <c r="H236" s="47">
        <v>6000</v>
      </c>
      <c r="I236" s="47">
        <f t="shared" si="36"/>
        <v>6000</v>
      </c>
      <c r="J236" s="48" t="str">
        <f t="shared" si="39"/>
        <v>Cumpărare directă</v>
      </c>
      <c r="K236" s="49">
        <v>41275</v>
      </c>
      <c r="L236" s="49">
        <v>41639</v>
      </c>
      <c r="M236" s="48" t="s">
        <v>19</v>
      </c>
    </row>
    <row r="237" spans="1:13" ht="24">
      <c r="A237" s="48">
        <v>185</v>
      </c>
      <c r="B237" s="46" t="s">
        <v>394</v>
      </c>
      <c r="C237" s="43" t="s">
        <v>379</v>
      </c>
      <c r="D237" s="47">
        <f t="shared" si="32"/>
        <v>1384.0702738613713</v>
      </c>
      <c r="E237" s="52">
        <f t="shared" si="35"/>
        <v>4.37</v>
      </c>
      <c r="F237" s="52">
        <f t="shared" si="37"/>
        <v>1.24</v>
      </c>
      <c r="G237" s="47">
        <f t="shared" si="38"/>
        <v>6048.387096774193</v>
      </c>
      <c r="H237" s="47">
        <v>7500</v>
      </c>
      <c r="I237" s="47">
        <f t="shared" si="36"/>
        <v>7500</v>
      </c>
      <c r="J237" s="48" t="str">
        <f t="shared" si="39"/>
        <v>Cumpărare directă</v>
      </c>
      <c r="K237" s="49">
        <v>41275</v>
      </c>
      <c r="L237" s="49">
        <v>41639</v>
      </c>
      <c r="M237" s="48" t="s">
        <v>19</v>
      </c>
    </row>
    <row r="238" spans="1:13" ht="24">
      <c r="A238" s="48">
        <v>186</v>
      </c>
      <c r="B238" s="46" t="s">
        <v>395</v>
      </c>
      <c r="C238" s="43" t="s">
        <v>381</v>
      </c>
      <c r="D238" s="47">
        <f t="shared" si="32"/>
        <v>369.0854063630324</v>
      </c>
      <c r="E238" s="52">
        <f t="shared" si="35"/>
        <v>4.37</v>
      </c>
      <c r="F238" s="52">
        <f t="shared" si="37"/>
        <v>1.24</v>
      </c>
      <c r="G238" s="47">
        <f t="shared" si="38"/>
        <v>1612.9032258064517</v>
      </c>
      <c r="H238" s="47">
        <v>2000</v>
      </c>
      <c r="I238" s="47">
        <f t="shared" si="36"/>
        <v>2000</v>
      </c>
      <c r="J238" s="48" t="str">
        <f t="shared" si="39"/>
        <v>Cumpărare directă</v>
      </c>
      <c r="K238" s="49">
        <v>41275</v>
      </c>
      <c r="L238" s="49">
        <v>41639</v>
      </c>
      <c r="M238" s="48" t="s">
        <v>19</v>
      </c>
    </row>
    <row r="239" spans="1:13" ht="60">
      <c r="A239" s="48">
        <v>187</v>
      </c>
      <c r="B239" s="46" t="s">
        <v>396</v>
      </c>
      <c r="C239" s="43" t="s">
        <v>311</v>
      </c>
      <c r="D239" s="47">
        <f t="shared" si="32"/>
        <v>2768.1405477227427</v>
      </c>
      <c r="E239" s="52">
        <f t="shared" si="35"/>
        <v>4.37</v>
      </c>
      <c r="F239" s="52">
        <f t="shared" si="37"/>
        <v>1.24</v>
      </c>
      <c r="G239" s="47">
        <f t="shared" si="38"/>
        <v>12096.774193548386</v>
      </c>
      <c r="H239" s="47">
        <v>15000</v>
      </c>
      <c r="I239" s="47">
        <f t="shared" si="36"/>
        <v>15000</v>
      </c>
      <c r="J239" s="48" t="s">
        <v>342</v>
      </c>
      <c r="K239" s="49">
        <v>41275</v>
      </c>
      <c r="L239" s="49">
        <v>41639</v>
      </c>
      <c r="M239" s="48" t="s">
        <v>19</v>
      </c>
    </row>
    <row r="240" spans="1:13" ht="24">
      <c r="A240" s="48">
        <v>188</v>
      </c>
      <c r="B240" s="43" t="s">
        <v>370</v>
      </c>
      <c r="C240" s="43" t="s">
        <v>371</v>
      </c>
      <c r="D240" s="47">
        <f t="shared" si="32"/>
        <v>461.3567579537905</v>
      </c>
      <c r="E240" s="52">
        <f t="shared" si="35"/>
        <v>4.37</v>
      </c>
      <c r="F240" s="52">
        <f t="shared" si="37"/>
        <v>1.24</v>
      </c>
      <c r="G240" s="47">
        <f t="shared" si="38"/>
        <v>2016.1290322580646</v>
      </c>
      <c r="H240" s="47">
        <v>2500</v>
      </c>
      <c r="I240" s="47">
        <f t="shared" si="36"/>
        <v>2500</v>
      </c>
      <c r="J240" s="48" t="str">
        <f>IF(D240&lt;=15000,"Cumpărare directă",IF(D240&lt;=130000,"Cerere de Oferte","Licitaţie deschisă"))</f>
        <v>Cumpărare directă</v>
      </c>
      <c r="K240" s="49">
        <v>41275</v>
      </c>
      <c r="L240" s="49">
        <v>41639</v>
      </c>
      <c r="M240" s="48" t="s">
        <v>19</v>
      </c>
    </row>
    <row r="241" spans="1:13" ht="24">
      <c r="A241" s="48">
        <v>189</v>
      </c>
      <c r="B241" s="43" t="s">
        <v>397</v>
      </c>
      <c r="C241" s="43" t="s">
        <v>398</v>
      </c>
      <c r="D241" s="47">
        <f t="shared" si="32"/>
        <v>738.1708127260648</v>
      </c>
      <c r="E241" s="52">
        <f t="shared" si="35"/>
        <v>4.37</v>
      </c>
      <c r="F241" s="52">
        <f t="shared" si="37"/>
        <v>1.24</v>
      </c>
      <c r="G241" s="47">
        <f t="shared" si="38"/>
        <v>3225.8064516129034</v>
      </c>
      <c r="H241" s="47">
        <v>4000</v>
      </c>
      <c r="I241" s="47">
        <f t="shared" si="36"/>
        <v>4000</v>
      </c>
      <c r="J241" s="48" t="str">
        <f>IF(D241&lt;=15000,"Cumpărare directă",IF(D241&lt;=130000,"Cerere de Oferte","Licitaţie deschisă"))</f>
        <v>Cumpărare directă</v>
      </c>
      <c r="K241" s="49">
        <v>41275</v>
      </c>
      <c r="L241" s="49">
        <v>41639</v>
      </c>
      <c r="M241" s="48" t="s">
        <v>19</v>
      </c>
    </row>
    <row r="242" spans="1:13" ht="60">
      <c r="A242" s="48">
        <v>190</v>
      </c>
      <c r="B242" s="46" t="s">
        <v>399</v>
      </c>
      <c r="C242" s="43" t="s">
        <v>377</v>
      </c>
      <c r="D242" s="47">
        <f t="shared" si="32"/>
        <v>16580.054624640143</v>
      </c>
      <c r="E242" s="52">
        <f t="shared" si="35"/>
        <v>4.37</v>
      </c>
      <c r="F242" s="52">
        <f t="shared" si="37"/>
        <v>1.24</v>
      </c>
      <c r="G242" s="47">
        <f t="shared" si="38"/>
        <v>72454.83870967742</v>
      </c>
      <c r="H242" s="47">
        <f>100000+22600-32756</f>
        <v>89844</v>
      </c>
      <c r="I242" s="47">
        <f t="shared" si="36"/>
        <v>89844</v>
      </c>
      <c r="J242" s="48" t="s">
        <v>342</v>
      </c>
      <c r="K242" s="49">
        <v>41275</v>
      </c>
      <c r="L242" s="49">
        <v>41639</v>
      </c>
      <c r="M242" s="48" t="s">
        <v>19</v>
      </c>
    </row>
    <row r="243" spans="1:13" ht="24">
      <c r="A243" s="48">
        <v>191</v>
      </c>
      <c r="B243" s="46" t="s">
        <v>386</v>
      </c>
      <c r="C243" s="46" t="s">
        <v>387</v>
      </c>
      <c r="D243" s="47">
        <f t="shared" si="32"/>
        <v>147.63416254521294</v>
      </c>
      <c r="E243" s="52">
        <f t="shared" si="35"/>
        <v>4.37</v>
      </c>
      <c r="F243" s="52">
        <f t="shared" si="37"/>
        <v>1.24</v>
      </c>
      <c r="G243" s="47">
        <f t="shared" si="38"/>
        <v>645.1612903225806</v>
      </c>
      <c r="H243" s="47">
        <v>800</v>
      </c>
      <c r="I243" s="47">
        <f t="shared" si="36"/>
        <v>800</v>
      </c>
      <c r="J243" s="48" t="str">
        <f>IF(D243&lt;=15000,"Cumpărare directă",IF(D243&lt;=130000,"Cerere de Oferte","Licitaţie deschisă"))</f>
        <v>Cumpărare directă</v>
      </c>
      <c r="K243" s="49">
        <v>41275</v>
      </c>
      <c r="L243" s="49">
        <v>41639</v>
      </c>
      <c r="M243" s="48" t="s">
        <v>19</v>
      </c>
    </row>
    <row r="244" spans="1:13" ht="24">
      <c r="A244" s="48">
        <v>192</v>
      </c>
      <c r="B244" s="46" t="s">
        <v>400</v>
      </c>
      <c r="C244" s="46" t="s">
        <v>229</v>
      </c>
      <c r="D244" s="47">
        <f t="shared" si="32"/>
        <v>830.4421643168229</v>
      </c>
      <c r="E244" s="52">
        <f t="shared" si="35"/>
        <v>4.37</v>
      </c>
      <c r="F244" s="52">
        <f t="shared" si="37"/>
        <v>1.24</v>
      </c>
      <c r="G244" s="47">
        <f t="shared" si="38"/>
        <v>3629.032258064516</v>
      </c>
      <c r="H244" s="47">
        <v>4500</v>
      </c>
      <c r="I244" s="47">
        <f t="shared" si="36"/>
        <v>4500</v>
      </c>
      <c r="J244" s="48" t="str">
        <f>IF(D244&lt;=15000,"Cumpărare directă",IF(D244&lt;=130000,"Cerere de Oferte","Licitaţie deschisă"))</f>
        <v>Cumpărare directă</v>
      </c>
      <c r="K244" s="49">
        <v>41275</v>
      </c>
      <c r="L244" s="49">
        <v>41639</v>
      </c>
      <c r="M244" s="48" t="s">
        <v>19</v>
      </c>
    </row>
    <row r="245" spans="1:13" ht="24">
      <c r="A245" s="48">
        <v>193</v>
      </c>
      <c r="B245" s="46" t="s">
        <v>401</v>
      </c>
      <c r="C245" s="46" t="s">
        <v>402</v>
      </c>
      <c r="D245" s="47">
        <f>G245/$B$8</f>
        <v>55.36281095445486</v>
      </c>
      <c r="E245" s="52">
        <f t="shared" si="35"/>
        <v>4.37</v>
      </c>
      <c r="F245" s="52">
        <f t="shared" si="37"/>
        <v>1.24</v>
      </c>
      <c r="G245" s="47">
        <f>H245/$B$9</f>
        <v>241.93548387096774</v>
      </c>
      <c r="H245" s="47">
        <v>300</v>
      </c>
      <c r="I245" s="47">
        <f t="shared" si="36"/>
        <v>300</v>
      </c>
      <c r="J245" s="48" t="str">
        <f>IF(D245&lt;=15000,"Cumpărare directă",IF(D245&lt;=130000,"Cerere de Oferte","Licitaţie deschisă"))</f>
        <v>Cumpărare directă</v>
      </c>
      <c r="K245" s="49">
        <v>41275</v>
      </c>
      <c r="L245" s="49">
        <v>41639</v>
      </c>
      <c r="M245" s="48" t="s">
        <v>19</v>
      </c>
    </row>
    <row r="246" spans="1:13" ht="24">
      <c r="A246" s="48">
        <v>194</v>
      </c>
      <c r="B246" s="46" t="s">
        <v>403</v>
      </c>
      <c r="C246" s="46" t="s">
        <v>205</v>
      </c>
      <c r="D246" s="47">
        <f>G246/$B$8</f>
        <v>55.36281095445486</v>
      </c>
      <c r="E246" s="52">
        <f t="shared" si="35"/>
        <v>4.37</v>
      </c>
      <c r="F246" s="52">
        <f t="shared" si="37"/>
        <v>1.24</v>
      </c>
      <c r="G246" s="47">
        <f>H246/$B$9</f>
        <v>241.93548387096774</v>
      </c>
      <c r="H246" s="47">
        <v>300</v>
      </c>
      <c r="I246" s="47">
        <f t="shared" si="36"/>
        <v>300</v>
      </c>
      <c r="J246" s="48" t="str">
        <f>IF(D246&lt;=15000,"Cumpărare directă",IF(D246&lt;=130000,"Cerere de Oferte","Licitaţie deschisă"))</f>
        <v>Cumpărare directă</v>
      </c>
      <c r="K246" s="49">
        <v>41275</v>
      </c>
      <c r="L246" s="49">
        <v>41639</v>
      </c>
      <c r="M246" s="48" t="s">
        <v>19</v>
      </c>
    </row>
    <row r="247" spans="1:13" ht="24">
      <c r="A247" s="48">
        <v>195</v>
      </c>
      <c r="B247" s="46" t="s">
        <v>404</v>
      </c>
      <c r="C247" s="46" t="s">
        <v>405</v>
      </c>
      <c r="D247" s="47">
        <f t="shared" si="32"/>
        <v>553.6281095445486</v>
      </c>
      <c r="E247" s="52">
        <f t="shared" si="35"/>
        <v>4.37</v>
      </c>
      <c r="F247" s="52">
        <f t="shared" si="37"/>
        <v>1.24</v>
      </c>
      <c r="G247" s="47">
        <f t="shared" si="38"/>
        <v>2419.3548387096776</v>
      </c>
      <c r="H247" s="47">
        <v>3000</v>
      </c>
      <c r="I247" s="47">
        <f t="shared" si="36"/>
        <v>3000</v>
      </c>
      <c r="J247" s="48" t="str">
        <f>IF(D247&lt;=15000,"Cumpărare directă",IF(D247&lt;=130000,"Cerere de Oferte","Licitaţie deschisă"))</f>
        <v>Cumpărare directă</v>
      </c>
      <c r="K247" s="49">
        <v>41275</v>
      </c>
      <c r="L247" s="49">
        <v>41639</v>
      </c>
      <c r="M247" s="48" t="s">
        <v>19</v>
      </c>
    </row>
    <row r="248" spans="1:13" ht="24">
      <c r="A248" s="48"/>
      <c r="B248" s="53" t="s">
        <v>454</v>
      </c>
      <c r="C248" s="43"/>
      <c r="D248" s="109">
        <f>SUM(D249)</f>
        <v>3690.854063630324</v>
      </c>
      <c r="E248" s="52">
        <f>G248/D248</f>
        <v>4.37</v>
      </c>
      <c r="F248" s="52">
        <f>H248/G248</f>
        <v>1.24</v>
      </c>
      <c r="G248" s="109">
        <f>SUM(G249)</f>
        <v>16129.032258064517</v>
      </c>
      <c r="H248" s="109">
        <f>SUM(H249)</f>
        <v>20000</v>
      </c>
      <c r="I248" s="109">
        <f t="shared" si="36"/>
        <v>20000</v>
      </c>
      <c r="J248" s="34"/>
      <c r="K248" s="49"/>
      <c r="L248" s="54"/>
      <c r="M248" s="54"/>
    </row>
    <row r="249" spans="1:13" ht="24">
      <c r="A249" s="48">
        <v>196</v>
      </c>
      <c r="B249" s="46" t="s">
        <v>453</v>
      </c>
      <c r="C249" s="43" t="s">
        <v>455</v>
      </c>
      <c r="D249" s="47">
        <f>G249/$B$8</f>
        <v>3690.854063630324</v>
      </c>
      <c r="E249" s="52">
        <f>G249/D249</f>
        <v>4.37</v>
      </c>
      <c r="F249" s="52">
        <f>H249/G249</f>
        <v>1.24</v>
      </c>
      <c r="G249" s="47">
        <f>H249/$B$9</f>
        <v>16129.032258064517</v>
      </c>
      <c r="H249" s="55">
        <v>20000</v>
      </c>
      <c r="I249" s="55">
        <f t="shared" si="36"/>
        <v>20000</v>
      </c>
      <c r="J249" s="48" t="str">
        <f>IF(D249&lt;=15000,"Cumpărare directă",IF(D249&lt;=130000,"Cerere de Oferte","Licitaţie deschisă"))</f>
        <v>Cumpărare directă</v>
      </c>
      <c r="K249" s="49">
        <v>41275</v>
      </c>
      <c r="L249" s="49">
        <v>41639</v>
      </c>
      <c r="M249" s="48" t="s">
        <v>19</v>
      </c>
    </row>
    <row r="250" spans="1:13" ht="12">
      <c r="A250" s="48"/>
      <c r="B250" s="53" t="s">
        <v>406</v>
      </c>
      <c r="C250" s="43"/>
      <c r="D250" s="109">
        <f>SUM(D251)</f>
        <v>138407.02738613717</v>
      </c>
      <c r="E250" s="52">
        <f t="shared" si="35"/>
        <v>4.37</v>
      </c>
      <c r="F250" s="52">
        <f t="shared" si="37"/>
        <v>1.24</v>
      </c>
      <c r="G250" s="109">
        <f>SUM(G251)</f>
        <v>604838.7096774194</v>
      </c>
      <c r="H250" s="109">
        <f>SUM(H251)</f>
        <v>750000</v>
      </c>
      <c r="I250" s="109">
        <f t="shared" si="36"/>
        <v>750000</v>
      </c>
      <c r="J250" s="34"/>
      <c r="K250" s="49"/>
      <c r="L250" s="54"/>
      <c r="M250" s="54"/>
    </row>
    <row r="251" spans="1:13" ht="60">
      <c r="A251" s="48">
        <v>197</v>
      </c>
      <c r="B251" s="46" t="s">
        <v>453</v>
      </c>
      <c r="C251" s="43" t="s">
        <v>407</v>
      </c>
      <c r="D251" s="47">
        <f t="shared" si="32"/>
        <v>138407.02738613717</v>
      </c>
      <c r="E251" s="52">
        <f t="shared" si="35"/>
        <v>4.37</v>
      </c>
      <c r="F251" s="52">
        <f t="shared" si="37"/>
        <v>1.24</v>
      </c>
      <c r="G251" s="47">
        <f>H251/$B$9</f>
        <v>604838.7096774194</v>
      </c>
      <c r="H251" s="55">
        <v>750000</v>
      </c>
      <c r="I251" s="55">
        <f t="shared" si="36"/>
        <v>750000</v>
      </c>
      <c r="J251" s="48" t="s">
        <v>342</v>
      </c>
      <c r="K251" s="49">
        <v>41275</v>
      </c>
      <c r="L251" s="49">
        <v>41639</v>
      </c>
      <c r="M251" s="48" t="s">
        <v>19</v>
      </c>
    </row>
    <row r="252" spans="1:13" ht="24">
      <c r="A252" s="48"/>
      <c r="B252" s="53" t="s">
        <v>408</v>
      </c>
      <c r="C252" s="43"/>
      <c r="D252" s="109">
        <f>D253+D257+D255</f>
        <v>119210.70999261829</v>
      </c>
      <c r="E252" s="52">
        <f>G252/D252</f>
        <v>4.370000069624616</v>
      </c>
      <c r="F252" s="52">
        <f>H252/G252</f>
        <v>1.2534369584471834</v>
      </c>
      <c r="G252" s="109">
        <f>G253+G257+G255</f>
        <v>520950.8109677419</v>
      </c>
      <c r="H252" s="109">
        <f>H253+H255+H257</f>
        <v>652979</v>
      </c>
      <c r="I252" s="109">
        <f>I253+I257+I255</f>
        <v>652979</v>
      </c>
      <c r="J252" s="34"/>
      <c r="K252" s="49"/>
      <c r="L252" s="54"/>
      <c r="M252" s="54"/>
    </row>
    <row r="253" spans="1:13" ht="24">
      <c r="A253" s="48"/>
      <c r="B253" s="70" t="s">
        <v>409</v>
      </c>
      <c r="C253" s="43"/>
      <c r="D253" s="109">
        <f>SUM(D254:D254)</f>
        <v>9227.13515907581</v>
      </c>
      <c r="E253" s="52">
        <f t="shared" si="35"/>
        <v>4.37</v>
      </c>
      <c r="F253" s="52">
        <f t="shared" si="37"/>
        <v>1.24</v>
      </c>
      <c r="G253" s="109">
        <f>SUM(G254:G254)</f>
        <v>40322.58064516129</v>
      </c>
      <c r="H253" s="109">
        <f>SUM(H254)</f>
        <v>50000</v>
      </c>
      <c r="I253" s="109">
        <f t="shared" si="36"/>
        <v>50000</v>
      </c>
      <c r="J253" s="34"/>
      <c r="K253" s="49"/>
      <c r="L253" s="54"/>
      <c r="M253" s="54"/>
    </row>
    <row r="254" spans="1:13" ht="60">
      <c r="A254" s="48">
        <v>198</v>
      </c>
      <c r="B254" s="51" t="s">
        <v>410</v>
      </c>
      <c r="C254" s="43" t="s">
        <v>411</v>
      </c>
      <c r="D254" s="47">
        <f>G254/$B$8</f>
        <v>9227.13515907581</v>
      </c>
      <c r="E254" s="52">
        <f t="shared" si="35"/>
        <v>4.37</v>
      </c>
      <c r="F254" s="52">
        <f t="shared" si="37"/>
        <v>1.24</v>
      </c>
      <c r="G254" s="47">
        <f>H254/$B$9</f>
        <v>40322.58064516129</v>
      </c>
      <c r="H254" s="47">
        <v>50000</v>
      </c>
      <c r="I254" s="47">
        <f t="shared" si="36"/>
        <v>50000</v>
      </c>
      <c r="J254" s="48" t="s">
        <v>312</v>
      </c>
      <c r="K254" s="49">
        <v>41275</v>
      </c>
      <c r="L254" s="49">
        <v>41639</v>
      </c>
      <c r="M254" s="48" t="s">
        <v>19</v>
      </c>
    </row>
    <row r="255" spans="1:13" ht="12">
      <c r="A255" s="48"/>
      <c r="B255" s="70" t="s">
        <v>412</v>
      </c>
      <c r="C255" s="43"/>
      <c r="D255" s="113">
        <f>SUM(D256)</f>
        <v>36908.54063630324</v>
      </c>
      <c r="E255" s="52">
        <f t="shared" si="35"/>
        <v>4.37</v>
      </c>
      <c r="F255" s="52">
        <f t="shared" si="37"/>
        <v>1.24</v>
      </c>
      <c r="G255" s="113">
        <f>SUM(G256)</f>
        <v>161290.32258064515</v>
      </c>
      <c r="H255" s="113">
        <f>SUM(H256)</f>
        <v>200000</v>
      </c>
      <c r="I255" s="113">
        <f t="shared" si="36"/>
        <v>200000</v>
      </c>
      <c r="J255" s="48"/>
      <c r="K255" s="49"/>
      <c r="L255" s="49"/>
      <c r="M255" s="48"/>
    </row>
    <row r="256" spans="1:13" ht="60">
      <c r="A256" s="48">
        <v>199</v>
      </c>
      <c r="B256" s="46" t="s">
        <v>310</v>
      </c>
      <c r="C256" s="43" t="s">
        <v>413</v>
      </c>
      <c r="D256" s="47">
        <f>G256/$B$8</f>
        <v>36908.54063630324</v>
      </c>
      <c r="E256" s="52">
        <f t="shared" si="35"/>
        <v>4.37</v>
      </c>
      <c r="F256" s="52">
        <f t="shared" si="37"/>
        <v>1.24</v>
      </c>
      <c r="G256" s="47">
        <f>H256/$B$9</f>
        <v>161290.32258064515</v>
      </c>
      <c r="H256" s="47">
        <v>200000</v>
      </c>
      <c r="I256" s="47">
        <f t="shared" si="36"/>
        <v>200000</v>
      </c>
      <c r="J256" s="48" t="s">
        <v>312</v>
      </c>
      <c r="K256" s="49">
        <v>41275</v>
      </c>
      <c r="L256" s="49">
        <v>41639</v>
      </c>
      <c r="M256" s="48" t="s">
        <v>19</v>
      </c>
    </row>
    <row r="257" spans="1:13" ht="12">
      <c r="A257" s="48"/>
      <c r="B257" s="70" t="s">
        <v>414</v>
      </c>
      <c r="C257" s="43"/>
      <c r="D257" s="109">
        <f>SUM(D258:D263)</f>
        <v>73075.03419723923</v>
      </c>
      <c r="E257" s="52">
        <f t="shared" si="35"/>
        <v>4.370000113581884</v>
      </c>
      <c r="F257" s="52">
        <f t="shared" si="37"/>
        <v>1.261920336515942</v>
      </c>
      <c r="G257" s="109">
        <f>SUM(G258:G263)</f>
        <v>319337.90774193546</v>
      </c>
      <c r="H257" s="109">
        <f>SUM(H258:H264)</f>
        <v>402979</v>
      </c>
      <c r="I257" s="109">
        <f>SUM(I258:I264)</f>
        <v>402979</v>
      </c>
      <c r="J257" s="34"/>
      <c r="K257" s="49"/>
      <c r="L257" s="54"/>
      <c r="M257" s="54"/>
    </row>
    <row r="258" spans="1:13" ht="60">
      <c r="A258" s="48">
        <v>200</v>
      </c>
      <c r="B258" s="51" t="s">
        <v>415</v>
      </c>
      <c r="C258" s="43" t="s">
        <v>416</v>
      </c>
      <c r="D258" s="47">
        <f>G258/$B$8</f>
        <v>11253.229497305676</v>
      </c>
      <c r="E258" s="52">
        <f t="shared" si="35"/>
        <v>4.37</v>
      </c>
      <c r="F258" s="52">
        <f t="shared" si="37"/>
        <v>1.24</v>
      </c>
      <c r="G258" s="47">
        <f>H258/$B$9</f>
        <v>49176.6129032258</v>
      </c>
      <c r="H258" s="47">
        <v>60979</v>
      </c>
      <c r="I258" s="47">
        <f t="shared" si="36"/>
        <v>60979</v>
      </c>
      <c r="J258" s="48" t="s">
        <v>312</v>
      </c>
      <c r="K258" s="49">
        <v>41275</v>
      </c>
      <c r="L258" s="49">
        <v>41639</v>
      </c>
      <c r="M258" s="48" t="s">
        <v>19</v>
      </c>
    </row>
    <row r="259" spans="1:13" ht="24">
      <c r="A259" s="48">
        <v>201</v>
      </c>
      <c r="B259" s="51" t="s">
        <v>417</v>
      </c>
      <c r="C259" s="51" t="s">
        <v>418</v>
      </c>
      <c r="D259" s="47">
        <f>G259/$B$8</f>
        <v>9227.13515907581</v>
      </c>
      <c r="E259" s="52">
        <f t="shared" si="35"/>
        <v>4.37</v>
      </c>
      <c r="F259" s="52">
        <f t="shared" si="37"/>
        <v>1.24</v>
      </c>
      <c r="G259" s="47">
        <f>H259/$B$9</f>
        <v>40322.58064516129</v>
      </c>
      <c r="H259" s="47">
        <v>50000</v>
      </c>
      <c r="I259" s="47">
        <f t="shared" si="36"/>
        <v>50000</v>
      </c>
      <c r="J259" s="48" t="str">
        <f>IF(D259&lt;=15000,"Cumpărare directă",IF(D259&lt;=130000,"Cerere de Oferte","Licitaţie deschisă"))</f>
        <v>Cumpărare directă</v>
      </c>
      <c r="K259" s="49">
        <v>41275</v>
      </c>
      <c r="L259" s="49">
        <v>41639</v>
      </c>
      <c r="M259" s="48" t="s">
        <v>19</v>
      </c>
    </row>
    <row r="260" spans="1:13" ht="24">
      <c r="A260" s="48">
        <v>202</v>
      </c>
      <c r="B260" s="51" t="s">
        <v>419</v>
      </c>
      <c r="C260" s="43" t="s">
        <v>420</v>
      </c>
      <c r="D260" s="47">
        <f>G260/$B$8</f>
        <v>1845.427031815162</v>
      </c>
      <c r="E260" s="52">
        <f>G260/D260</f>
        <v>4.37</v>
      </c>
      <c r="F260" s="52">
        <f>H260/G260</f>
        <v>1.24</v>
      </c>
      <c r="G260" s="47">
        <f>H260/$B$9</f>
        <v>8064.5161290322585</v>
      </c>
      <c r="H260" s="47">
        <v>10000</v>
      </c>
      <c r="I260" s="47">
        <f t="shared" si="36"/>
        <v>10000</v>
      </c>
      <c r="J260" s="48" t="str">
        <f>IF(D260&lt;=15000,"Cumpărare directă",IF(D260&lt;=130000,"Cerere de Oferte","Licitaţie deschisă"))</f>
        <v>Cumpărare directă</v>
      </c>
      <c r="K260" s="49">
        <v>41275</v>
      </c>
      <c r="L260" s="49">
        <v>41639</v>
      </c>
      <c r="M260" s="48" t="s">
        <v>19</v>
      </c>
    </row>
    <row r="261" spans="1:13" ht="24">
      <c r="A261" s="48">
        <v>203</v>
      </c>
      <c r="B261" s="71" t="s">
        <v>421</v>
      </c>
      <c r="C261" s="43" t="s">
        <v>422</v>
      </c>
      <c r="D261" s="47">
        <f>G261/$B$8</f>
        <v>9227.13515907581</v>
      </c>
      <c r="E261" s="52">
        <f t="shared" si="35"/>
        <v>4.37</v>
      </c>
      <c r="F261" s="52">
        <f t="shared" si="37"/>
        <v>1.24</v>
      </c>
      <c r="G261" s="47">
        <f>H261/$B$9</f>
        <v>40322.58064516129</v>
      </c>
      <c r="H261" s="47">
        <v>50000</v>
      </c>
      <c r="I261" s="47">
        <f t="shared" si="36"/>
        <v>50000</v>
      </c>
      <c r="J261" s="48" t="str">
        <f>IF(D261&lt;=15000,"Cumpărare directă",IF(D261&lt;=130000,"Cerere de Oferte","Licitaţie deschisă"))</f>
        <v>Cumpărare directă</v>
      </c>
      <c r="K261" s="49">
        <v>41275</v>
      </c>
      <c r="L261" s="49">
        <v>41639</v>
      </c>
      <c r="M261" s="48" t="s">
        <v>19</v>
      </c>
    </row>
    <row r="262" spans="1:13" ht="24">
      <c r="A262" s="48">
        <v>204</v>
      </c>
      <c r="B262" s="71" t="s">
        <v>423</v>
      </c>
      <c r="C262" s="43" t="s">
        <v>424</v>
      </c>
      <c r="D262" s="47">
        <v>21222.41</v>
      </c>
      <c r="E262" s="52"/>
      <c r="F262" s="52"/>
      <c r="G262" s="47">
        <v>92741.94</v>
      </c>
      <c r="H262" s="47">
        <v>115000</v>
      </c>
      <c r="I262" s="47">
        <f t="shared" si="36"/>
        <v>115000</v>
      </c>
      <c r="J262" s="48" t="s">
        <v>467</v>
      </c>
      <c r="K262" s="49">
        <v>41275</v>
      </c>
      <c r="L262" s="49">
        <v>41639</v>
      </c>
      <c r="M262" s="48" t="s">
        <v>19</v>
      </c>
    </row>
    <row r="263" spans="1:13" ht="21.75" customHeight="1">
      <c r="A263" s="48">
        <v>205</v>
      </c>
      <c r="B263" s="111" t="s">
        <v>324</v>
      </c>
      <c r="C263" s="43" t="s">
        <v>470</v>
      </c>
      <c r="D263" s="47">
        <f>G263/$B$8</f>
        <v>20299.69734996678</v>
      </c>
      <c r="E263" s="52">
        <f>G263/D263</f>
        <v>4.37</v>
      </c>
      <c r="F263" s="52">
        <f>H263/G263</f>
        <v>1.24</v>
      </c>
      <c r="G263" s="47">
        <f>H263/$B$9</f>
        <v>88709.67741935483</v>
      </c>
      <c r="H263" s="47">
        <f>110000</f>
        <v>110000</v>
      </c>
      <c r="I263" s="47">
        <f>H263</f>
        <v>110000</v>
      </c>
      <c r="J263" s="48" t="str">
        <f>IF(D263&lt;=15000,"Cumpărare directă",IF(D263&lt;=130000,"Cerere de Oferte","Licitaţie deschisă"))</f>
        <v>Cerere de Oferte</v>
      </c>
      <c r="K263" s="49">
        <v>41275</v>
      </c>
      <c r="L263" s="49">
        <v>41639</v>
      </c>
      <c r="M263" s="48" t="s">
        <v>19</v>
      </c>
    </row>
    <row r="264" spans="1:13" ht="21.75" customHeight="1">
      <c r="A264" s="48">
        <v>206</v>
      </c>
      <c r="B264" s="111" t="s">
        <v>474</v>
      </c>
      <c r="C264" s="43" t="s">
        <v>473</v>
      </c>
      <c r="D264" s="47">
        <f>G264/$B$8</f>
        <v>1291.7989222706133</v>
      </c>
      <c r="E264" s="52">
        <f>G264/D264</f>
        <v>4.37</v>
      </c>
      <c r="F264" s="52">
        <f>H264/G264</f>
        <v>1.24</v>
      </c>
      <c r="G264" s="47">
        <f>H264/$B$9</f>
        <v>5645.1612903225805</v>
      </c>
      <c r="H264" s="47">
        <v>7000</v>
      </c>
      <c r="I264" s="47">
        <f>H264</f>
        <v>7000</v>
      </c>
      <c r="J264" s="48" t="str">
        <f>IF(D264&lt;=15000,"Cumpărare directă",IF(D264&lt;=130000,"Cerere de Oferte","Licitaţie deschisă"))</f>
        <v>Cumpărare directă</v>
      </c>
      <c r="K264" s="49">
        <v>41275</v>
      </c>
      <c r="L264" s="49">
        <v>41639</v>
      </c>
      <c r="M264" s="48" t="s">
        <v>19</v>
      </c>
    </row>
    <row r="265" spans="1:13" ht="12">
      <c r="A265" s="72"/>
      <c r="B265" s="73" t="s">
        <v>425</v>
      </c>
      <c r="C265" s="43"/>
      <c r="D265" s="115">
        <f>D207+D204+D201+D197+D180+D174+D14+0.001+D172</f>
        <v>2416656.295793126</v>
      </c>
      <c r="E265" s="116">
        <f t="shared" si="35"/>
        <v>4.370000006001761</v>
      </c>
      <c r="F265" s="116">
        <f t="shared" si="37"/>
        <v>1.2424263196368688</v>
      </c>
      <c r="G265" s="115">
        <f>G207+G204+G201+G197+G180+G174+G14+0.001+G172</f>
        <v>10560788.027120152</v>
      </c>
      <c r="H265" s="115">
        <f>H207+H204+H201+H197+H180+H174+H14+0.001+H172+H248</f>
        <v>13121001.001</v>
      </c>
      <c r="I265" s="115">
        <f>I207+I204+I201+I197+I180+I174+I14+0.001+I172+I248</f>
        <v>13121001.001</v>
      </c>
      <c r="J265" s="75"/>
      <c r="K265" s="49"/>
      <c r="L265" s="76"/>
      <c r="M265" s="74"/>
    </row>
    <row r="266" spans="1:13" ht="12">
      <c r="A266" s="9"/>
      <c r="B266" s="77"/>
      <c r="C266" s="9"/>
      <c r="D266" s="117"/>
      <c r="E266" s="118" t="e">
        <f t="shared" si="35"/>
        <v>#DIV/0!</v>
      </c>
      <c r="F266" s="118" t="e">
        <f t="shared" si="37"/>
        <v>#DIV/0!</v>
      </c>
      <c r="G266" s="117"/>
      <c r="H266" s="117"/>
      <c r="I266" s="117"/>
      <c r="J266" s="79"/>
      <c r="K266" s="80"/>
      <c r="L266" s="78"/>
      <c r="M266" s="81"/>
    </row>
    <row r="267" spans="1:13" ht="12">
      <c r="A267" s="124" t="s">
        <v>426</v>
      </c>
      <c r="B267" s="124"/>
      <c r="C267" s="83"/>
      <c r="D267" s="119">
        <f>SUM(D268:D273)</f>
        <v>92271.3515907581</v>
      </c>
      <c r="E267" s="116">
        <f t="shared" si="35"/>
        <v>4.369999999999999</v>
      </c>
      <c r="F267" s="116">
        <f t="shared" si="37"/>
        <v>1.2400000000000002</v>
      </c>
      <c r="G267" s="119">
        <f>SUM(G268:G273)</f>
        <v>403225.80645161285</v>
      </c>
      <c r="H267" s="119">
        <f>SUM(H268:H273)</f>
        <v>500000</v>
      </c>
      <c r="I267" s="119">
        <f t="shared" si="36"/>
        <v>500000</v>
      </c>
      <c r="J267" s="84"/>
      <c r="K267" s="49"/>
      <c r="L267" s="85"/>
      <c r="M267" s="49"/>
    </row>
    <row r="268" spans="1:13" ht="24">
      <c r="A268" s="120">
        <v>207</v>
      </c>
      <c r="B268" s="86" t="s">
        <v>427</v>
      </c>
      <c r="C268" s="63" t="s">
        <v>428</v>
      </c>
      <c r="D268" s="47">
        <f aca="true" t="shared" si="40" ref="D268:D273">G268/$B$8</f>
        <v>36908.54063630324</v>
      </c>
      <c r="E268" s="52">
        <f t="shared" si="35"/>
        <v>4.37</v>
      </c>
      <c r="F268" s="52">
        <f t="shared" si="37"/>
        <v>1.24</v>
      </c>
      <c r="G268" s="47">
        <f aca="true" t="shared" si="41" ref="G268:G273">H268/$B$9</f>
        <v>161290.32258064515</v>
      </c>
      <c r="H268" s="47">
        <v>200000</v>
      </c>
      <c r="I268" s="47">
        <f t="shared" si="36"/>
        <v>200000</v>
      </c>
      <c r="J268" s="48" t="str">
        <f aca="true" t="shared" si="42" ref="J268:J273">IF(D268&lt;=15000,"Cumpărare directă",IF(D268&lt;=130000,"Cerere de Oferte","Licitaţie deschisă"))</f>
        <v>Cerere de Oferte</v>
      </c>
      <c r="K268" s="49">
        <v>41275</v>
      </c>
      <c r="L268" s="49">
        <v>41639</v>
      </c>
      <c r="M268" s="48" t="s">
        <v>19</v>
      </c>
    </row>
    <row r="269" spans="1:13" ht="24">
      <c r="A269" s="120">
        <v>208</v>
      </c>
      <c r="B269" s="86" t="s">
        <v>429</v>
      </c>
      <c r="C269" s="63" t="s">
        <v>430</v>
      </c>
      <c r="D269" s="47">
        <f t="shared" si="40"/>
        <v>5536.281095445485</v>
      </c>
      <c r="E269" s="52">
        <f t="shared" si="35"/>
        <v>4.37</v>
      </c>
      <c r="F269" s="52">
        <f t="shared" si="37"/>
        <v>1.24</v>
      </c>
      <c r="G269" s="47">
        <f t="shared" si="41"/>
        <v>24193.548387096773</v>
      </c>
      <c r="H269" s="47">
        <v>30000</v>
      </c>
      <c r="I269" s="47">
        <f t="shared" si="36"/>
        <v>30000</v>
      </c>
      <c r="J269" s="48" t="str">
        <f t="shared" si="42"/>
        <v>Cumpărare directă</v>
      </c>
      <c r="K269" s="49">
        <v>41275</v>
      </c>
      <c r="L269" s="49">
        <v>41639</v>
      </c>
      <c r="M269" s="48" t="s">
        <v>19</v>
      </c>
    </row>
    <row r="270" spans="1:13" ht="19.5" customHeight="1">
      <c r="A270" s="120">
        <v>209</v>
      </c>
      <c r="B270" s="86" t="s">
        <v>431</v>
      </c>
      <c r="C270" s="63" t="s">
        <v>432</v>
      </c>
      <c r="D270" s="47">
        <f t="shared" si="40"/>
        <v>18454.27031815162</v>
      </c>
      <c r="E270" s="52">
        <f t="shared" si="35"/>
        <v>4.37</v>
      </c>
      <c r="F270" s="52">
        <f t="shared" si="37"/>
        <v>1.24</v>
      </c>
      <c r="G270" s="47">
        <f t="shared" si="41"/>
        <v>80645.16129032258</v>
      </c>
      <c r="H270" s="47">
        <f>100000</f>
        <v>100000</v>
      </c>
      <c r="I270" s="47">
        <f t="shared" si="36"/>
        <v>100000</v>
      </c>
      <c r="J270" s="48" t="str">
        <f t="shared" si="42"/>
        <v>Cerere de Oferte</v>
      </c>
      <c r="K270" s="49">
        <v>41275</v>
      </c>
      <c r="L270" s="49">
        <v>41639</v>
      </c>
      <c r="M270" s="48" t="s">
        <v>19</v>
      </c>
    </row>
    <row r="271" spans="1:13" ht="24">
      <c r="A271" s="120">
        <v>210</v>
      </c>
      <c r="B271" s="86" t="s">
        <v>433</v>
      </c>
      <c r="C271" s="63" t="s">
        <v>434</v>
      </c>
      <c r="D271" s="47">
        <f t="shared" si="40"/>
        <v>1845.427031815162</v>
      </c>
      <c r="E271" s="52">
        <f t="shared" si="35"/>
        <v>4.37</v>
      </c>
      <c r="F271" s="52">
        <f t="shared" si="37"/>
        <v>1.24</v>
      </c>
      <c r="G271" s="47">
        <f t="shared" si="41"/>
        <v>8064.5161290322585</v>
      </c>
      <c r="H271" s="47">
        <v>10000</v>
      </c>
      <c r="I271" s="47">
        <f t="shared" si="36"/>
        <v>10000</v>
      </c>
      <c r="J271" s="48" t="str">
        <f t="shared" si="42"/>
        <v>Cumpărare directă</v>
      </c>
      <c r="K271" s="49">
        <v>41275</v>
      </c>
      <c r="L271" s="49">
        <v>41639</v>
      </c>
      <c r="M271" s="48" t="s">
        <v>19</v>
      </c>
    </row>
    <row r="272" spans="1:13" ht="19.5" customHeight="1">
      <c r="A272" s="120">
        <v>211</v>
      </c>
      <c r="B272" s="86" t="s">
        <v>435</v>
      </c>
      <c r="C272" s="63" t="s">
        <v>436</v>
      </c>
      <c r="D272" s="47">
        <f t="shared" si="40"/>
        <v>1845.427031815162</v>
      </c>
      <c r="E272" s="52">
        <f t="shared" si="35"/>
        <v>4.37</v>
      </c>
      <c r="F272" s="52">
        <f t="shared" si="37"/>
        <v>1.24</v>
      </c>
      <c r="G272" s="47">
        <f t="shared" si="41"/>
        <v>8064.5161290322585</v>
      </c>
      <c r="H272" s="47">
        <v>10000</v>
      </c>
      <c r="I272" s="47">
        <f t="shared" si="36"/>
        <v>10000</v>
      </c>
      <c r="J272" s="48" t="str">
        <f t="shared" si="42"/>
        <v>Cumpărare directă</v>
      </c>
      <c r="K272" s="49">
        <v>41275</v>
      </c>
      <c r="L272" s="49">
        <v>41639</v>
      </c>
      <c r="M272" s="48" t="s">
        <v>19</v>
      </c>
    </row>
    <row r="273" spans="1:13" ht="24">
      <c r="A273" s="120">
        <v>212</v>
      </c>
      <c r="B273" s="63" t="s">
        <v>437</v>
      </c>
      <c r="C273" s="63" t="s">
        <v>438</v>
      </c>
      <c r="D273" s="47">
        <f t="shared" si="40"/>
        <v>27681.405477227432</v>
      </c>
      <c r="E273" s="52">
        <f t="shared" si="35"/>
        <v>4.37</v>
      </c>
      <c r="F273" s="52">
        <f t="shared" si="37"/>
        <v>1.24</v>
      </c>
      <c r="G273" s="47">
        <f t="shared" si="41"/>
        <v>120967.74193548388</v>
      </c>
      <c r="H273" s="47">
        <v>150000</v>
      </c>
      <c r="I273" s="47">
        <f t="shared" si="36"/>
        <v>150000</v>
      </c>
      <c r="J273" s="48" t="str">
        <f t="shared" si="42"/>
        <v>Cerere de Oferte</v>
      </c>
      <c r="K273" s="49">
        <v>41275</v>
      </c>
      <c r="L273" s="49">
        <v>41639</v>
      </c>
      <c r="M273" s="48" t="s">
        <v>19</v>
      </c>
    </row>
    <row r="274" spans="1:13" ht="36.75" customHeight="1">
      <c r="A274" s="125" t="s">
        <v>439</v>
      </c>
      <c r="B274" s="126"/>
      <c r="C274" s="87"/>
      <c r="D274" s="119">
        <f>SUM(D275:D280)</f>
        <v>18454.27031815162</v>
      </c>
      <c r="E274" s="52">
        <f aca="true" t="shared" si="43" ref="E274:E283">G274/D274</f>
        <v>4.370000000000001</v>
      </c>
      <c r="F274" s="52">
        <f aca="true" t="shared" si="44" ref="F274:F283">H274/G274</f>
        <v>1.2399999999999998</v>
      </c>
      <c r="G274" s="119">
        <f>SUM(G275:G280)</f>
        <v>80645.16129032259</v>
      </c>
      <c r="H274" s="119">
        <f>SUM(H275:H280)</f>
        <v>100000</v>
      </c>
      <c r="I274" s="119">
        <f>SUM(I275:I280)</f>
        <v>100000</v>
      </c>
      <c r="J274" s="48"/>
      <c r="K274" s="49"/>
      <c r="L274" s="85"/>
      <c r="M274" s="49"/>
    </row>
    <row r="275" spans="1:13" ht="40.5" customHeight="1">
      <c r="A275" s="120">
        <v>213</v>
      </c>
      <c r="B275" s="86" t="s">
        <v>440</v>
      </c>
      <c r="C275" s="63" t="s">
        <v>441</v>
      </c>
      <c r="D275" s="47">
        <f aca="true" t="shared" si="45" ref="D275:D280">G275/$B$8</f>
        <v>3690.854063630324</v>
      </c>
      <c r="E275" s="52">
        <f t="shared" si="43"/>
        <v>4.37</v>
      </c>
      <c r="F275" s="52">
        <f t="shared" si="44"/>
        <v>1.24</v>
      </c>
      <c r="G275" s="47">
        <f>H275/B9</f>
        <v>16129.032258064517</v>
      </c>
      <c r="H275" s="47">
        <v>20000</v>
      </c>
      <c r="I275" s="47">
        <f t="shared" si="36"/>
        <v>20000</v>
      </c>
      <c r="J275" s="48" t="str">
        <f aca="true" t="shared" si="46" ref="J275:J280">IF(D275&lt;=15000,"Cumpărare directă",IF(D275&lt;=130000,"Cerere de Oferte","Licitaţie deschisă"))</f>
        <v>Cumpărare directă</v>
      </c>
      <c r="K275" s="49">
        <v>41275</v>
      </c>
      <c r="L275" s="49">
        <v>41639</v>
      </c>
      <c r="M275" s="48" t="s">
        <v>19</v>
      </c>
    </row>
    <row r="276" spans="1:13" ht="24">
      <c r="A276" s="120">
        <v>214</v>
      </c>
      <c r="B276" s="86" t="s">
        <v>442</v>
      </c>
      <c r="C276" s="63" t="s">
        <v>443</v>
      </c>
      <c r="D276" s="47">
        <f t="shared" si="45"/>
        <v>1845.427031815162</v>
      </c>
      <c r="E276" s="52">
        <f t="shared" si="43"/>
        <v>4.37</v>
      </c>
      <c r="F276" s="52">
        <f t="shared" si="44"/>
        <v>1.24</v>
      </c>
      <c r="G276" s="47">
        <f>H276/$B$9</f>
        <v>8064.5161290322585</v>
      </c>
      <c r="H276" s="47">
        <v>10000</v>
      </c>
      <c r="I276" s="47">
        <f>H276</f>
        <v>10000</v>
      </c>
      <c r="J276" s="48" t="str">
        <f t="shared" si="46"/>
        <v>Cumpărare directă</v>
      </c>
      <c r="K276" s="49">
        <v>41275</v>
      </c>
      <c r="L276" s="49">
        <v>41639</v>
      </c>
      <c r="M276" s="48" t="s">
        <v>19</v>
      </c>
    </row>
    <row r="277" spans="1:13" ht="24">
      <c r="A277" s="120">
        <v>215</v>
      </c>
      <c r="B277" s="86" t="s">
        <v>444</v>
      </c>
      <c r="C277" s="63" t="s">
        <v>445</v>
      </c>
      <c r="D277" s="47">
        <f t="shared" si="45"/>
        <v>4613.567579537905</v>
      </c>
      <c r="E277" s="52">
        <f t="shared" si="43"/>
        <v>4.37</v>
      </c>
      <c r="F277" s="52">
        <f t="shared" si="44"/>
        <v>1.24</v>
      </c>
      <c r="G277" s="47">
        <f>H277/$B$9</f>
        <v>20161.290322580644</v>
      </c>
      <c r="H277" s="47">
        <v>25000</v>
      </c>
      <c r="I277" s="47">
        <f>H277</f>
        <v>25000</v>
      </c>
      <c r="J277" s="48" t="str">
        <f t="shared" si="46"/>
        <v>Cumpărare directă</v>
      </c>
      <c r="K277" s="49">
        <v>41275</v>
      </c>
      <c r="L277" s="49">
        <v>41639</v>
      </c>
      <c r="M277" s="48" t="s">
        <v>19</v>
      </c>
    </row>
    <row r="278" spans="1:13" ht="24">
      <c r="A278" s="120">
        <v>216</v>
      </c>
      <c r="B278" s="86" t="s">
        <v>446</v>
      </c>
      <c r="C278" s="86" t="s">
        <v>447</v>
      </c>
      <c r="D278" s="47">
        <f t="shared" si="45"/>
        <v>922.713515907581</v>
      </c>
      <c r="E278" s="52">
        <f t="shared" si="43"/>
        <v>4.37</v>
      </c>
      <c r="F278" s="52">
        <f t="shared" si="44"/>
        <v>1.24</v>
      </c>
      <c r="G278" s="47">
        <f>H278/$B$9</f>
        <v>4032.2580645161293</v>
      </c>
      <c r="H278" s="47">
        <v>5000</v>
      </c>
      <c r="I278" s="47">
        <f>H278</f>
        <v>5000</v>
      </c>
      <c r="J278" s="48" t="str">
        <f t="shared" si="46"/>
        <v>Cumpărare directă</v>
      </c>
      <c r="K278" s="49">
        <v>41275</v>
      </c>
      <c r="L278" s="49">
        <v>41639</v>
      </c>
      <c r="M278" s="48" t="s">
        <v>19</v>
      </c>
    </row>
    <row r="279" spans="1:13" ht="24">
      <c r="A279" s="120">
        <v>217</v>
      </c>
      <c r="B279" s="86" t="s">
        <v>464</v>
      </c>
      <c r="C279" s="86" t="s">
        <v>463</v>
      </c>
      <c r="D279" s="47">
        <f t="shared" si="45"/>
        <v>5536.281095445485</v>
      </c>
      <c r="E279" s="52">
        <f t="shared" si="43"/>
        <v>4.37</v>
      </c>
      <c r="F279" s="52">
        <f t="shared" si="44"/>
        <v>1.24</v>
      </c>
      <c r="G279" s="47">
        <f>H279/$B$9</f>
        <v>24193.548387096773</v>
      </c>
      <c r="H279" s="47">
        <v>30000</v>
      </c>
      <c r="I279" s="47">
        <f>H279</f>
        <v>30000</v>
      </c>
      <c r="J279" s="48" t="str">
        <f t="shared" si="46"/>
        <v>Cumpărare directă</v>
      </c>
      <c r="K279" s="49">
        <v>41275</v>
      </c>
      <c r="L279" s="49">
        <v>41639</v>
      </c>
      <c r="M279" s="48" t="s">
        <v>19</v>
      </c>
    </row>
    <row r="280" spans="1:13" ht="24">
      <c r="A280" s="120">
        <v>218</v>
      </c>
      <c r="B280" s="86" t="s">
        <v>448</v>
      </c>
      <c r="C280" s="86" t="s">
        <v>449</v>
      </c>
      <c r="D280" s="47">
        <f t="shared" si="45"/>
        <v>1845.427031815162</v>
      </c>
      <c r="E280" s="52">
        <f t="shared" si="43"/>
        <v>4.37</v>
      </c>
      <c r="F280" s="52">
        <f t="shared" si="44"/>
        <v>1.24</v>
      </c>
      <c r="G280" s="47">
        <f>H280/$B$9</f>
        <v>8064.5161290322585</v>
      </c>
      <c r="H280" s="47">
        <v>10000</v>
      </c>
      <c r="I280" s="47">
        <f>H280</f>
        <v>10000</v>
      </c>
      <c r="J280" s="48" t="str">
        <f t="shared" si="46"/>
        <v>Cumpărare directă</v>
      </c>
      <c r="K280" s="49">
        <v>41275</v>
      </c>
      <c r="L280" s="49">
        <v>41639</v>
      </c>
      <c r="M280" s="48" t="s">
        <v>19</v>
      </c>
    </row>
    <row r="281" spans="1:13" ht="12">
      <c r="A281" s="88">
        <v>70</v>
      </c>
      <c r="B281" s="89" t="s">
        <v>450</v>
      </c>
      <c r="C281" s="8"/>
      <c r="D281" s="74">
        <f>D274+D267</f>
        <v>110725.62190890973</v>
      </c>
      <c r="E281" s="40">
        <f t="shared" si="43"/>
        <v>4.369999999999999</v>
      </c>
      <c r="F281" s="40">
        <f t="shared" si="44"/>
        <v>1.24</v>
      </c>
      <c r="G281" s="74">
        <f>G274+G267</f>
        <v>483870.96774193546</v>
      </c>
      <c r="H281" s="74">
        <f>H274+H267</f>
        <v>600000</v>
      </c>
      <c r="I281" s="74">
        <f>I274+I267</f>
        <v>600000</v>
      </c>
      <c r="J281" s="75"/>
      <c r="K281" s="74"/>
      <c r="L281" s="85"/>
      <c r="M281" s="49"/>
    </row>
    <row r="282" spans="1:13" ht="12">
      <c r="A282" s="90"/>
      <c r="B282" s="91" t="s">
        <v>451</v>
      </c>
      <c r="C282" s="92"/>
      <c r="D282" s="93">
        <f>D281+D265</f>
        <v>2527381.9177020355</v>
      </c>
      <c r="E282" s="40">
        <f t="shared" si="43"/>
        <v>4.370000005738821</v>
      </c>
      <c r="F282" s="40">
        <f t="shared" si="44"/>
        <v>1.2423200215944135</v>
      </c>
      <c r="G282" s="93">
        <f>G281+G265</f>
        <v>11044658.994862087</v>
      </c>
      <c r="H282" s="94">
        <f>H281+H265</f>
        <v>13721001.001</v>
      </c>
      <c r="I282" s="94">
        <f>H282</f>
        <v>13721001.001</v>
      </c>
      <c r="J282" s="94"/>
      <c r="K282" s="93"/>
      <c r="L282" s="95"/>
      <c r="M282" s="49"/>
    </row>
    <row r="283" spans="1:13" ht="12">
      <c r="A283" s="96"/>
      <c r="B283" s="97"/>
      <c r="C283" s="98"/>
      <c r="D283" s="43"/>
      <c r="E283" s="40" t="e">
        <f t="shared" si="43"/>
        <v>#DIV/0!</v>
      </c>
      <c r="F283" s="40" t="e">
        <f t="shared" si="44"/>
        <v>#DIV/0!</v>
      </c>
      <c r="G283" s="43"/>
      <c r="H283" s="94"/>
      <c r="I283" s="94"/>
      <c r="J283" s="94"/>
      <c r="K283" s="93"/>
      <c r="L283" s="95"/>
      <c r="M283" s="49"/>
    </row>
    <row r="284" spans="1:13" ht="12">
      <c r="A284" s="99"/>
      <c r="B284" s="100" t="s">
        <v>452</v>
      </c>
      <c r="C284" s="101"/>
      <c r="D284" s="101"/>
      <c r="E284" s="101"/>
      <c r="F284" s="101"/>
      <c r="G284" s="101"/>
      <c r="H284" s="102"/>
      <c r="I284" s="102"/>
      <c r="J284" s="103"/>
      <c r="K284" s="103"/>
      <c r="L284" s="104"/>
      <c r="M284" s="105"/>
    </row>
    <row r="285" spans="1:13" ht="12">
      <c r="A285" s="99"/>
      <c r="B285" s="100"/>
      <c r="C285" s="101"/>
      <c r="D285" s="101"/>
      <c r="E285" s="101"/>
      <c r="F285" s="101"/>
      <c r="G285" s="101"/>
      <c r="H285" s="102"/>
      <c r="I285" s="102"/>
      <c r="J285" s="103"/>
      <c r="K285" s="103"/>
      <c r="L285" s="104"/>
      <c r="M285" s="105"/>
    </row>
    <row r="286" spans="1:14" ht="60">
      <c r="A286" s="99"/>
      <c r="B286" s="106" t="s">
        <v>481</v>
      </c>
      <c r="C286" s="107"/>
      <c r="D286" s="121" t="s">
        <v>484</v>
      </c>
      <c r="E286" s="107"/>
      <c r="F286" s="107"/>
      <c r="G286" s="107"/>
      <c r="H286" s="108"/>
      <c r="I286" s="121" t="s">
        <v>487</v>
      </c>
      <c r="L286" s="121" t="s">
        <v>485</v>
      </c>
      <c r="M286" s="122"/>
      <c r="N286" s="82"/>
    </row>
    <row r="287" spans="1:13" ht="27.75" customHeight="1">
      <c r="A287" s="99"/>
      <c r="B287" s="106" t="s">
        <v>482</v>
      </c>
      <c r="C287" s="107"/>
      <c r="D287" s="12" t="s">
        <v>483</v>
      </c>
      <c r="E287" s="107"/>
      <c r="F287" s="107"/>
      <c r="G287" s="107"/>
      <c r="H287" s="108"/>
      <c r="I287" s="12" t="s">
        <v>488</v>
      </c>
      <c r="L287" s="12" t="s">
        <v>486</v>
      </c>
      <c r="M287" s="122"/>
    </row>
    <row r="288" spans="4:11" ht="12">
      <c r="D288" s="14"/>
      <c r="E288" s="14"/>
      <c r="F288" s="14"/>
      <c r="G288" s="14"/>
      <c r="K288" s="8"/>
    </row>
    <row r="289" spans="4:11" ht="12">
      <c r="D289" s="14"/>
      <c r="E289" s="14"/>
      <c r="F289" s="14"/>
      <c r="G289" s="14"/>
      <c r="K289" s="8"/>
    </row>
    <row r="290" spans="4:11" ht="12">
      <c r="D290" s="14"/>
      <c r="E290" s="14"/>
      <c r="F290" s="14"/>
      <c r="G290" s="14"/>
      <c r="K290" s="8"/>
    </row>
    <row r="291" spans="2:11" ht="12">
      <c r="B291" s="2"/>
      <c r="D291" s="14"/>
      <c r="E291" s="14"/>
      <c r="F291" s="14"/>
      <c r="G291" s="14"/>
      <c r="K291" s="8"/>
    </row>
    <row r="292" spans="2:11" ht="12">
      <c r="B292" s="2"/>
      <c r="D292" s="14"/>
      <c r="E292" s="14"/>
      <c r="F292" s="14"/>
      <c r="G292" s="14"/>
      <c r="K292" s="8"/>
    </row>
    <row r="293" spans="4:11" ht="12">
      <c r="D293" s="14"/>
      <c r="E293" s="14"/>
      <c r="F293" s="14"/>
      <c r="G293" s="14"/>
      <c r="K293" s="8"/>
    </row>
    <row r="294" spans="4:11" ht="12">
      <c r="D294" s="14"/>
      <c r="E294" s="14"/>
      <c r="F294" s="14"/>
      <c r="G294" s="14"/>
      <c r="K294" s="8"/>
    </row>
    <row r="295" spans="4:11" ht="12">
      <c r="D295" s="14"/>
      <c r="E295" s="14"/>
      <c r="F295" s="14"/>
      <c r="G295" s="14"/>
      <c r="K295" s="8"/>
    </row>
    <row r="296" spans="4:11" ht="12">
      <c r="D296" s="14"/>
      <c r="E296" s="14"/>
      <c r="F296" s="14"/>
      <c r="G296" s="14"/>
      <c r="K296" s="8"/>
    </row>
    <row r="297" spans="4:11" ht="12">
      <c r="D297" s="14"/>
      <c r="E297" s="14"/>
      <c r="F297" s="14"/>
      <c r="G297" s="14"/>
      <c r="K297" s="8"/>
    </row>
    <row r="298" spans="4:11" ht="26.25" customHeight="1">
      <c r="D298" s="14"/>
      <c r="E298" s="14"/>
      <c r="F298" s="14"/>
      <c r="G298" s="14"/>
      <c r="K298" s="8"/>
    </row>
    <row r="299" spans="4:11" ht="27.75" customHeight="1">
      <c r="D299" s="14"/>
      <c r="E299" s="14"/>
      <c r="F299" s="14"/>
      <c r="G299" s="14"/>
      <c r="K299" s="8"/>
    </row>
    <row r="300" spans="4:11" ht="12">
      <c r="D300" s="14"/>
      <c r="E300" s="14"/>
      <c r="F300" s="14"/>
      <c r="G300" s="14"/>
      <c r="K300" s="8"/>
    </row>
    <row r="301" spans="4:11" ht="12">
      <c r="D301" s="14"/>
      <c r="E301" s="14"/>
      <c r="F301" s="14"/>
      <c r="G301" s="14"/>
      <c r="K301" s="8"/>
    </row>
    <row r="302" spans="4:11" ht="12">
      <c r="D302" s="14"/>
      <c r="E302" s="14"/>
      <c r="F302" s="14"/>
      <c r="G302" s="14"/>
      <c r="K302" s="8"/>
    </row>
    <row r="303" spans="4:11" ht="12">
      <c r="D303" s="14"/>
      <c r="E303" s="14"/>
      <c r="F303" s="14"/>
      <c r="G303" s="14"/>
      <c r="K303" s="8"/>
    </row>
    <row r="304" spans="4:11" ht="15" customHeight="1">
      <c r="D304" s="14"/>
      <c r="E304" s="14"/>
      <c r="F304" s="14"/>
      <c r="G304" s="14"/>
      <c r="K304" s="8"/>
    </row>
    <row r="305" spans="4:11" ht="15" customHeight="1">
      <c r="D305" s="14"/>
      <c r="E305" s="14"/>
      <c r="F305" s="14"/>
      <c r="G305" s="14"/>
      <c r="K305" s="8"/>
    </row>
    <row r="306" spans="4:11" ht="12">
      <c r="D306" s="14"/>
      <c r="E306" s="14"/>
      <c r="F306" s="14"/>
      <c r="G306" s="14"/>
      <c r="K306" s="8"/>
    </row>
    <row r="307" spans="4:11" ht="12" customHeight="1">
      <c r="D307" s="14"/>
      <c r="E307" s="14"/>
      <c r="F307" s="14"/>
      <c r="G307" s="14"/>
      <c r="K307" s="8"/>
    </row>
    <row r="308" spans="4:11" ht="14.25" customHeight="1">
      <c r="D308" s="14"/>
      <c r="E308" s="14"/>
      <c r="F308" s="14"/>
      <c r="G308" s="14"/>
      <c r="K308" s="8"/>
    </row>
    <row r="309" spans="4:11" ht="12.75" customHeight="1">
      <c r="D309" s="14"/>
      <c r="E309" s="14"/>
      <c r="F309" s="14"/>
      <c r="G309" s="14"/>
      <c r="K309" s="8"/>
    </row>
    <row r="310" spans="4:11" ht="15" customHeight="1">
      <c r="D310" s="14"/>
      <c r="E310" s="14"/>
      <c r="F310" s="14"/>
      <c r="G310" s="14"/>
      <c r="K310" s="8"/>
    </row>
    <row r="311" spans="4:11" ht="16.5" customHeight="1">
      <c r="D311" s="14"/>
      <c r="E311" s="14"/>
      <c r="F311" s="14"/>
      <c r="G311" s="14"/>
      <c r="K311" s="8"/>
    </row>
    <row r="312" spans="4:11" ht="12">
      <c r="D312" s="14"/>
      <c r="E312" s="14"/>
      <c r="F312" s="14"/>
      <c r="G312" s="14"/>
      <c r="K312" s="8"/>
    </row>
    <row r="313" spans="4:11" ht="12">
      <c r="D313" s="14"/>
      <c r="E313" s="14"/>
      <c r="F313" s="14"/>
      <c r="G313" s="14"/>
      <c r="K313" s="8"/>
    </row>
    <row r="314" spans="4:11" ht="12">
      <c r="D314" s="14"/>
      <c r="E314" s="14"/>
      <c r="F314" s="14"/>
      <c r="G314" s="14"/>
      <c r="K314" s="8"/>
    </row>
    <row r="315" spans="4:11" ht="12">
      <c r="D315" s="14"/>
      <c r="E315" s="14"/>
      <c r="F315" s="14"/>
      <c r="G315" s="14"/>
      <c r="K315" s="8"/>
    </row>
    <row r="316" spans="4:11" ht="12">
      <c r="D316" s="14"/>
      <c r="E316" s="14"/>
      <c r="F316" s="14"/>
      <c r="G316" s="14"/>
      <c r="K316" s="8"/>
    </row>
    <row r="317" spans="4:11" ht="12">
      <c r="D317" s="14"/>
      <c r="E317" s="14"/>
      <c r="F317" s="14"/>
      <c r="G317" s="14"/>
      <c r="K317" s="8"/>
    </row>
    <row r="318" spans="4:11" ht="12">
      <c r="D318" s="14"/>
      <c r="E318" s="14"/>
      <c r="F318" s="14"/>
      <c r="G318" s="14"/>
      <c r="K318" s="8"/>
    </row>
    <row r="319" spans="4:11" ht="12">
      <c r="D319" s="14"/>
      <c r="E319" s="14"/>
      <c r="F319" s="14"/>
      <c r="G319" s="14"/>
      <c r="K319" s="8"/>
    </row>
    <row r="320" spans="4:11" ht="12">
      <c r="D320" s="14"/>
      <c r="E320" s="14"/>
      <c r="F320" s="14"/>
      <c r="G320" s="14"/>
      <c r="K320" s="8"/>
    </row>
    <row r="321" spans="4:11" ht="12">
      <c r="D321" s="14"/>
      <c r="E321" s="14"/>
      <c r="F321" s="14"/>
      <c r="G321" s="14"/>
      <c r="K321" s="8"/>
    </row>
    <row r="322" spans="4:11" ht="12">
      <c r="D322" s="14"/>
      <c r="E322" s="14"/>
      <c r="F322" s="14"/>
      <c r="G322" s="14"/>
      <c r="K322" s="8"/>
    </row>
    <row r="323" spans="4:11" ht="12">
      <c r="D323" s="14"/>
      <c r="E323" s="14"/>
      <c r="F323" s="14"/>
      <c r="G323" s="14"/>
      <c r="K323" s="8"/>
    </row>
    <row r="324" spans="4:11" ht="12">
      <c r="D324" s="14"/>
      <c r="E324" s="14"/>
      <c r="F324" s="14"/>
      <c r="G324" s="14"/>
      <c r="K324" s="8"/>
    </row>
    <row r="325" spans="4:11" ht="12">
      <c r="D325" s="14"/>
      <c r="E325" s="14"/>
      <c r="F325" s="14"/>
      <c r="G325" s="14"/>
      <c r="K325" s="8"/>
    </row>
    <row r="326" spans="4:11" ht="12">
      <c r="D326" s="14"/>
      <c r="E326" s="14"/>
      <c r="F326" s="14"/>
      <c r="G326" s="14"/>
      <c r="K326" s="8"/>
    </row>
    <row r="327" spans="4:11" ht="12">
      <c r="D327" s="14"/>
      <c r="E327" s="14"/>
      <c r="F327" s="14"/>
      <c r="G327" s="14"/>
      <c r="K327" s="8"/>
    </row>
    <row r="328" spans="4:11" ht="19.5" customHeight="1">
      <c r="D328" s="14"/>
      <c r="E328" s="14"/>
      <c r="F328" s="14"/>
      <c r="G328" s="14"/>
      <c r="K328" s="8"/>
    </row>
    <row r="329" spans="4:11" ht="19.5" customHeight="1">
      <c r="D329" s="14"/>
      <c r="E329" s="14"/>
      <c r="F329" s="14"/>
      <c r="G329" s="14"/>
      <c r="K329" s="8"/>
    </row>
    <row r="330" spans="4:11" ht="19.5" customHeight="1">
      <c r="D330" s="14"/>
      <c r="E330" s="14"/>
      <c r="F330" s="14"/>
      <c r="G330" s="14"/>
      <c r="K330" s="8"/>
    </row>
    <row r="331" spans="4:11" ht="19.5" customHeight="1">
      <c r="D331" s="14"/>
      <c r="E331" s="14"/>
      <c r="F331" s="14"/>
      <c r="G331" s="14"/>
      <c r="K331" s="8"/>
    </row>
    <row r="332" spans="4:11" ht="19.5" customHeight="1">
      <c r="D332" s="14"/>
      <c r="E332" s="14"/>
      <c r="F332" s="14"/>
      <c r="G332" s="14"/>
      <c r="K332" s="8"/>
    </row>
    <row r="333" spans="4:11" ht="19.5" customHeight="1">
      <c r="D333" s="14"/>
      <c r="E333" s="14"/>
      <c r="F333" s="14"/>
      <c r="G333" s="14"/>
      <c r="K333" s="8"/>
    </row>
    <row r="334" spans="4:11" ht="19.5" customHeight="1">
      <c r="D334" s="14"/>
      <c r="E334" s="14"/>
      <c r="F334" s="14"/>
      <c r="G334" s="14"/>
      <c r="K334" s="8"/>
    </row>
    <row r="335" spans="4:11" ht="19.5" customHeight="1">
      <c r="D335" s="14"/>
      <c r="E335" s="14"/>
      <c r="F335" s="14"/>
      <c r="G335" s="14"/>
      <c r="K335" s="8"/>
    </row>
    <row r="336" spans="4:11" ht="19.5" customHeight="1">
      <c r="D336" s="14"/>
      <c r="E336" s="14"/>
      <c r="F336" s="14"/>
      <c r="G336" s="14"/>
      <c r="K336" s="8"/>
    </row>
    <row r="337" spans="4:11" ht="19.5" customHeight="1">
      <c r="D337" s="14"/>
      <c r="E337" s="14"/>
      <c r="F337" s="14"/>
      <c r="G337" s="14"/>
      <c r="K337" s="8"/>
    </row>
    <row r="338" spans="4:11" ht="19.5" customHeight="1">
      <c r="D338" s="14"/>
      <c r="E338" s="14"/>
      <c r="F338" s="14"/>
      <c r="G338" s="14"/>
      <c r="K338" s="8"/>
    </row>
    <row r="339" spans="4:11" ht="19.5" customHeight="1">
      <c r="D339" s="14"/>
      <c r="E339" s="14"/>
      <c r="F339" s="14"/>
      <c r="G339" s="14"/>
      <c r="K339" s="8"/>
    </row>
    <row r="340" spans="4:11" ht="19.5" customHeight="1">
      <c r="D340" s="14"/>
      <c r="E340" s="14"/>
      <c r="F340" s="14"/>
      <c r="G340" s="14"/>
      <c r="K340" s="8"/>
    </row>
    <row r="341" spans="4:11" ht="19.5" customHeight="1">
      <c r="D341" s="14"/>
      <c r="E341" s="14"/>
      <c r="F341" s="14"/>
      <c r="G341" s="14"/>
      <c r="K341" s="8"/>
    </row>
    <row r="342" spans="4:11" ht="19.5" customHeight="1">
      <c r="D342" s="14"/>
      <c r="E342" s="14"/>
      <c r="F342" s="14"/>
      <c r="G342" s="14"/>
      <c r="K342" s="8"/>
    </row>
    <row r="343" spans="4:11" ht="19.5" customHeight="1">
      <c r="D343" s="14"/>
      <c r="E343" s="14"/>
      <c r="F343" s="14"/>
      <c r="G343" s="14"/>
      <c r="K343" s="8"/>
    </row>
    <row r="344" spans="4:11" ht="19.5" customHeight="1">
      <c r="D344" s="14"/>
      <c r="E344" s="14"/>
      <c r="F344" s="14"/>
      <c r="G344" s="14"/>
      <c r="K344" s="8"/>
    </row>
    <row r="345" spans="4:11" ht="19.5" customHeight="1">
      <c r="D345" s="14"/>
      <c r="E345" s="14"/>
      <c r="F345" s="14"/>
      <c r="G345" s="14"/>
      <c r="K345" s="8"/>
    </row>
    <row r="346" spans="4:11" ht="19.5" customHeight="1">
      <c r="D346" s="14"/>
      <c r="E346" s="14"/>
      <c r="F346" s="14"/>
      <c r="G346" s="14"/>
      <c r="K346" s="8"/>
    </row>
    <row r="347" spans="4:11" ht="19.5" customHeight="1">
      <c r="D347" s="14"/>
      <c r="E347" s="14"/>
      <c r="F347" s="14"/>
      <c r="G347" s="14"/>
      <c r="K347" s="8"/>
    </row>
    <row r="348" spans="4:11" ht="19.5" customHeight="1">
      <c r="D348" s="14"/>
      <c r="E348" s="14"/>
      <c r="F348" s="14"/>
      <c r="G348" s="14"/>
      <c r="K348" s="8"/>
    </row>
    <row r="349" spans="4:11" ht="19.5" customHeight="1">
      <c r="D349" s="14"/>
      <c r="E349" s="14"/>
      <c r="F349" s="14"/>
      <c r="G349" s="14"/>
      <c r="K349" s="8"/>
    </row>
    <row r="350" spans="4:11" ht="19.5" customHeight="1">
      <c r="D350" s="14"/>
      <c r="E350" s="14"/>
      <c r="F350" s="14"/>
      <c r="G350" s="14"/>
      <c r="K350" s="8"/>
    </row>
    <row r="351" spans="4:11" ht="19.5" customHeight="1">
      <c r="D351" s="14"/>
      <c r="E351" s="14"/>
      <c r="F351" s="14"/>
      <c r="G351" s="14"/>
      <c r="K351" s="8"/>
    </row>
    <row r="352" spans="4:11" ht="19.5" customHeight="1">
      <c r="D352" s="14"/>
      <c r="E352" s="14"/>
      <c r="F352" s="14"/>
      <c r="G352" s="14"/>
      <c r="K352" s="8"/>
    </row>
    <row r="353" spans="4:11" ht="19.5" customHeight="1">
      <c r="D353" s="14"/>
      <c r="E353" s="14"/>
      <c r="F353" s="14"/>
      <c r="G353" s="14"/>
      <c r="K353" s="8"/>
    </row>
    <row r="354" spans="4:11" ht="19.5" customHeight="1">
      <c r="D354" s="14"/>
      <c r="E354" s="14"/>
      <c r="F354" s="14"/>
      <c r="G354" s="14"/>
      <c r="K354" s="8"/>
    </row>
    <row r="355" spans="4:11" ht="19.5" customHeight="1">
      <c r="D355" s="14"/>
      <c r="E355" s="14"/>
      <c r="F355" s="14"/>
      <c r="G355" s="14"/>
      <c r="K355" s="8"/>
    </row>
    <row r="356" spans="4:11" ht="19.5" customHeight="1">
      <c r="D356" s="14"/>
      <c r="E356" s="14"/>
      <c r="F356" s="14"/>
      <c r="G356" s="14"/>
      <c r="K356" s="8"/>
    </row>
    <row r="357" spans="4:11" ht="19.5" customHeight="1">
      <c r="D357" s="14"/>
      <c r="E357" s="14"/>
      <c r="F357" s="14"/>
      <c r="G357" s="14"/>
      <c r="K357" s="8"/>
    </row>
    <row r="358" spans="4:11" ht="19.5" customHeight="1">
      <c r="D358" s="14"/>
      <c r="E358" s="14"/>
      <c r="F358" s="14"/>
      <c r="G358" s="14"/>
      <c r="K358" s="8"/>
    </row>
    <row r="359" spans="4:11" ht="19.5" customHeight="1">
      <c r="D359" s="14"/>
      <c r="E359" s="14"/>
      <c r="F359" s="14"/>
      <c r="G359" s="14"/>
      <c r="K359" s="8"/>
    </row>
    <row r="360" spans="4:11" ht="19.5" customHeight="1">
      <c r="D360" s="14"/>
      <c r="E360" s="14"/>
      <c r="F360" s="14"/>
      <c r="G360" s="14"/>
      <c r="K360" s="8"/>
    </row>
    <row r="361" spans="4:11" ht="19.5" customHeight="1">
      <c r="D361" s="14"/>
      <c r="E361" s="14"/>
      <c r="F361" s="14"/>
      <c r="G361" s="14"/>
      <c r="K361" s="8"/>
    </row>
    <row r="362" spans="4:11" ht="19.5" customHeight="1">
      <c r="D362" s="14"/>
      <c r="E362" s="14"/>
      <c r="F362" s="14"/>
      <c r="G362" s="14"/>
      <c r="K362" s="8"/>
    </row>
    <row r="363" spans="4:11" ht="19.5" customHeight="1">
      <c r="D363" s="14"/>
      <c r="E363" s="14"/>
      <c r="F363" s="14"/>
      <c r="G363" s="14"/>
      <c r="K363" s="8"/>
    </row>
    <row r="364" spans="4:11" ht="19.5" customHeight="1">
      <c r="D364" s="14"/>
      <c r="E364" s="14"/>
      <c r="F364" s="14"/>
      <c r="G364" s="14"/>
      <c r="K364" s="8"/>
    </row>
    <row r="365" spans="4:11" ht="19.5" customHeight="1">
      <c r="D365" s="14"/>
      <c r="E365" s="14"/>
      <c r="F365" s="14"/>
      <c r="G365" s="14"/>
      <c r="K365" s="8"/>
    </row>
    <row r="366" spans="4:11" ht="19.5" customHeight="1">
      <c r="D366" s="14"/>
      <c r="E366" s="14"/>
      <c r="F366" s="14"/>
      <c r="G366" s="14"/>
      <c r="K366" s="8"/>
    </row>
    <row r="367" spans="4:11" ht="19.5" customHeight="1">
      <c r="D367" s="14"/>
      <c r="E367" s="14"/>
      <c r="F367" s="14"/>
      <c r="G367" s="14"/>
      <c r="K367" s="8"/>
    </row>
    <row r="368" spans="4:11" ht="19.5" customHeight="1">
      <c r="D368" s="14"/>
      <c r="E368" s="14"/>
      <c r="F368" s="14"/>
      <c r="G368" s="14"/>
      <c r="K368" s="8"/>
    </row>
    <row r="369" spans="4:11" ht="19.5" customHeight="1">
      <c r="D369" s="14"/>
      <c r="E369" s="14"/>
      <c r="F369" s="14"/>
      <c r="G369" s="14"/>
      <c r="K369" s="8"/>
    </row>
    <row r="370" spans="4:11" ht="19.5" customHeight="1">
      <c r="D370" s="14"/>
      <c r="E370" s="14"/>
      <c r="F370" s="14"/>
      <c r="G370" s="14"/>
      <c r="K370" s="8"/>
    </row>
    <row r="371" spans="4:11" ht="19.5" customHeight="1">
      <c r="D371" s="14"/>
      <c r="E371" s="14"/>
      <c r="F371" s="14"/>
      <c r="G371" s="14"/>
      <c r="K371" s="8"/>
    </row>
    <row r="372" spans="4:11" ht="19.5" customHeight="1">
      <c r="D372" s="14"/>
      <c r="E372" s="14"/>
      <c r="F372" s="14"/>
      <c r="G372" s="14"/>
      <c r="K372" s="8"/>
    </row>
    <row r="373" spans="4:11" ht="19.5" customHeight="1">
      <c r="D373" s="14"/>
      <c r="E373" s="14"/>
      <c r="F373" s="14"/>
      <c r="G373" s="14"/>
      <c r="K373" s="8"/>
    </row>
    <row r="374" spans="4:11" ht="19.5" customHeight="1">
      <c r="D374" s="14"/>
      <c r="E374" s="14"/>
      <c r="F374" s="14"/>
      <c r="G374" s="14"/>
      <c r="K374" s="8"/>
    </row>
    <row r="375" spans="4:11" ht="19.5" customHeight="1">
      <c r="D375" s="14"/>
      <c r="E375" s="14"/>
      <c r="F375" s="14"/>
      <c r="G375" s="14"/>
      <c r="K375" s="8"/>
    </row>
    <row r="376" spans="4:11" ht="19.5" customHeight="1">
      <c r="D376" s="14"/>
      <c r="E376" s="14"/>
      <c r="F376" s="14"/>
      <c r="G376" s="14"/>
      <c r="K376" s="8"/>
    </row>
    <row r="377" spans="4:11" ht="19.5" customHeight="1">
      <c r="D377" s="14"/>
      <c r="E377" s="14"/>
      <c r="F377" s="14"/>
      <c r="G377" s="14"/>
      <c r="K377" s="8"/>
    </row>
    <row r="378" spans="4:11" ht="19.5" customHeight="1">
      <c r="D378" s="14"/>
      <c r="E378" s="14"/>
      <c r="F378" s="14"/>
      <c r="G378" s="14"/>
      <c r="K378" s="8"/>
    </row>
    <row r="379" spans="4:11" ht="19.5" customHeight="1">
      <c r="D379" s="14"/>
      <c r="E379" s="14"/>
      <c r="F379" s="14"/>
      <c r="G379" s="14"/>
      <c r="K379" s="8"/>
    </row>
    <row r="380" spans="4:11" ht="19.5" customHeight="1">
      <c r="D380" s="14"/>
      <c r="E380" s="14"/>
      <c r="F380" s="14"/>
      <c r="G380" s="14"/>
      <c r="K380" s="8"/>
    </row>
    <row r="381" spans="4:11" ht="19.5" customHeight="1">
      <c r="D381" s="14"/>
      <c r="E381" s="14"/>
      <c r="F381" s="14"/>
      <c r="G381" s="14"/>
      <c r="K381" s="8"/>
    </row>
    <row r="382" spans="4:11" ht="19.5" customHeight="1">
      <c r="D382" s="14"/>
      <c r="E382" s="14"/>
      <c r="F382" s="14"/>
      <c r="G382" s="14"/>
      <c r="K382" s="8"/>
    </row>
    <row r="383" spans="4:11" ht="19.5" customHeight="1">
      <c r="D383" s="14"/>
      <c r="E383" s="14"/>
      <c r="F383" s="14"/>
      <c r="G383" s="14"/>
      <c r="K383" s="8"/>
    </row>
    <row r="384" spans="4:11" ht="19.5" customHeight="1">
      <c r="D384" s="14"/>
      <c r="E384" s="14"/>
      <c r="F384" s="14"/>
      <c r="G384" s="14"/>
      <c r="K384" s="8"/>
    </row>
    <row r="385" spans="4:11" ht="19.5" customHeight="1">
      <c r="D385" s="14"/>
      <c r="E385" s="14"/>
      <c r="F385" s="14"/>
      <c r="G385" s="14"/>
      <c r="K385" s="8"/>
    </row>
    <row r="386" spans="4:11" ht="19.5" customHeight="1">
      <c r="D386" s="14"/>
      <c r="E386" s="14"/>
      <c r="F386" s="14"/>
      <c r="G386" s="14"/>
      <c r="K386" s="8"/>
    </row>
    <row r="387" spans="4:11" ht="19.5" customHeight="1">
      <c r="D387" s="14"/>
      <c r="E387" s="14"/>
      <c r="F387" s="14"/>
      <c r="G387" s="14"/>
      <c r="K387" s="8"/>
    </row>
    <row r="388" spans="4:11" ht="19.5" customHeight="1">
      <c r="D388" s="14"/>
      <c r="E388" s="14"/>
      <c r="F388" s="14"/>
      <c r="G388" s="14"/>
      <c r="K388" s="8"/>
    </row>
    <row r="389" spans="4:11" ht="19.5" customHeight="1">
      <c r="D389" s="14"/>
      <c r="E389" s="14"/>
      <c r="F389" s="14"/>
      <c r="G389" s="14"/>
      <c r="K389" s="8"/>
    </row>
    <row r="390" spans="4:11" ht="19.5" customHeight="1">
      <c r="D390" s="14"/>
      <c r="E390" s="14"/>
      <c r="F390" s="14"/>
      <c r="G390" s="14"/>
      <c r="K390" s="8"/>
    </row>
    <row r="391" spans="4:11" ht="19.5" customHeight="1">
      <c r="D391" s="14"/>
      <c r="E391" s="14"/>
      <c r="F391" s="14"/>
      <c r="G391" s="14"/>
      <c r="K391" s="8"/>
    </row>
    <row r="392" spans="4:11" ht="19.5" customHeight="1">
      <c r="D392" s="14"/>
      <c r="E392" s="14"/>
      <c r="F392" s="14"/>
      <c r="G392" s="14"/>
      <c r="K392" s="8"/>
    </row>
    <row r="393" spans="4:11" ht="19.5" customHeight="1">
      <c r="D393" s="14"/>
      <c r="E393" s="14"/>
      <c r="F393" s="14"/>
      <c r="G393" s="14"/>
      <c r="K393" s="8"/>
    </row>
    <row r="394" spans="4:11" ht="19.5" customHeight="1">
      <c r="D394" s="14"/>
      <c r="E394" s="14"/>
      <c r="F394" s="14"/>
      <c r="G394" s="14"/>
      <c r="K394" s="8"/>
    </row>
    <row r="395" spans="4:11" ht="19.5" customHeight="1">
      <c r="D395" s="14"/>
      <c r="E395" s="14"/>
      <c r="F395" s="14"/>
      <c r="G395" s="14"/>
      <c r="K395" s="8"/>
    </row>
    <row r="396" spans="4:11" ht="19.5" customHeight="1">
      <c r="D396" s="14"/>
      <c r="E396" s="14"/>
      <c r="F396" s="14"/>
      <c r="G396" s="14"/>
      <c r="K396" s="8"/>
    </row>
    <row r="397" spans="4:11" ht="19.5" customHeight="1">
      <c r="D397" s="14"/>
      <c r="E397" s="14"/>
      <c r="F397" s="14"/>
      <c r="G397" s="14"/>
      <c r="K397" s="8"/>
    </row>
    <row r="398" spans="4:11" ht="19.5" customHeight="1">
      <c r="D398" s="14"/>
      <c r="E398" s="14"/>
      <c r="F398" s="14"/>
      <c r="G398" s="14"/>
      <c r="K398" s="8"/>
    </row>
    <row r="399" spans="4:11" ht="19.5" customHeight="1">
      <c r="D399" s="14"/>
      <c r="E399" s="14"/>
      <c r="F399" s="14"/>
      <c r="G399" s="14"/>
      <c r="K399" s="8"/>
    </row>
    <row r="400" spans="4:11" ht="19.5" customHeight="1">
      <c r="D400" s="14"/>
      <c r="E400" s="14"/>
      <c r="F400" s="14"/>
      <c r="G400" s="14"/>
      <c r="K400" s="8"/>
    </row>
    <row r="401" spans="4:11" ht="19.5" customHeight="1">
      <c r="D401" s="14"/>
      <c r="E401" s="14"/>
      <c r="F401" s="14"/>
      <c r="G401" s="14"/>
      <c r="K401" s="8"/>
    </row>
    <row r="402" spans="4:11" ht="19.5" customHeight="1">
      <c r="D402" s="14"/>
      <c r="E402" s="14"/>
      <c r="F402" s="14"/>
      <c r="G402" s="14"/>
      <c r="K402" s="8"/>
    </row>
    <row r="403" spans="4:11" ht="19.5" customHeight="1">
      <c r="D403" s="14"/>
      <c r="E403" s="14"/>
      <c r="F403" s="14"/>
      <c r="G403" s="14"/>
      <c r="K403" s="8"/>
    </row>
    <row r="404" spans="4:11" ht="19.5" customHeight="1">
      <c r="D404" s="14"/>
      <c r="E404" s="14"/>
      <c r="F404" s="14"/>
      <c r="G404" s="14"/>
      <c r="K404" s="8"/>
    </row>
    <row r="405" spans="4:11" ht="19.5" customHeight="1">
      <c r="D405" s="14"/>
      <c r="E405" s="14"/>
      <c r="F405" s="14"/>
      <c r="G405" s="14"/>
      <c r="K405" s="8"/>
    </row>
    <row r="406" spans="4:11" ht="19.5" customHeight="1">
      <c r="D406" s="14"/>
      <c r="E406" s="14"/>
      <c r="F406" s="14"/>
      <c r="G406" s="14"/>
      <c r="K406" s="8"/>
    </row>
    <row r="407" spans="4:11" ht="19.5" customHeight="1">
      <c r="D407" s="14"/>
      <c r="E407" s="14"/>
      <c r="F407" s="14"/>
      <c r="G407" s="14"/>
      <c r="K407" s="8"/>
    </row>
    <row r="408" spans="4:11" ht="19.5" customHeight="1">
      <c r="D408" s="14"/>
      <c r="E408" s="14"/>
      <c r="F408" s="14"/>
      <c r="G408" s="14"/>
      <c r="K408" s="8"/>
    </row>
    <row r="409" spans="4:11" ht="19.5" customHeight="1">
      <c r="D409" s="14"/>
      <c r="E409" s="14"/>
      <c r="F409" s="14"/>
      <c r="G409" s="14"/>
      <c r="K409" s="8"/>
    </row>
    <row r="410" spans="4:11" ht="19.5" customHeight="1">
      <c r="D410" s="14"/>
      <c r="E410" s="14"/>
      <c r="F410" s="14"/>
      <c r="G410" s="14"/>
      <c r="K410" s="8"/>
    </row>
    <row r="411" spans="4:11" ht="19.5" customHeight="1">
      <c r="D411" s="14"/>
      <c r="E411" s="14"/>
      <c r="F411" s="14"/>
      <c r="G411" s="14"/>
      <c r="K411" s="8"/>
    </row>
    <row r="412" spans="4:11" ht="19.5" customHeight="1">
      <c r="D412" s="14"/>
      <c r="E412" s="14"/>
      <c r="F412" s="14"/>
      <c r="G412" s="14"/>
      <c r="K412" s="8"/>
    </row>
    <row r="413" spans="4:11" ht="19.5" customHeight="1">
      <c r="D413" s="14"/>
      <c r="E413" s="14"/>
      <c r="F413" s="14"/>
      <c r="G413" s="14"/>
      <c r="K413" s="8"/>
    </row>
    <row r="414" spans="4:11" ht="19.5" customHeight="1">
      <c r="D414" s="14"/>
      <c r="E414" s="14"/>
      <c r="F414" s="14"/>
      <c r="G414" s="14"/>
      <c r="K414" s="8"/>
    </row>
    <row r="415" spans="4:11" ht="19.5" customHeight="1">
      <c r="D415" s="14"/>
      <c r="E415" s="14"/>
      <c r="F415" s="14"/>
      <c r="G415" s="14"/>
      <c r="K415" s="8"/>
    </row>
    <row r="416" spans="4:11" ht="19.5" customHeight="1">
      <c r="D416" s="14"/>
      <c r="E416" s="14"/>
      <c r="F416" s="14"/>
      <c r="G416" s="14"/>
      <c r="K416" s="8"/>
    </row>
    <row r="417" spans="4:11" ht="19.5" customHeight="1">
      <c r="D417" s="14"/>
      <c r="E417" s="14"/>
      <c r="F417" s="14"/>
      <c r="G417" s="14"/>
      <c r="K417" s="8"/>
    </row>
    <row r="418" spans="4:11" ht="19.5" customHeight="1">
      <c r="D418" s="14"/>
      <c r="E418" s="14"/>
      <c r="F418" s="14"/>
      <c r="G418" s="14"/>
      <c r="K418" s="8"/>
    </row>
    <row r="419" spans="4:11" ht="19.5" customHeight="1">
      <c r="D419" s="14"/>
      <c r="E419" s="14"/>
      <c r="F419" s="14"/>
      <c r="G419" s="14"/>
      <c r="K419" s="8"/>
    </row>
    <row r="420" spans="4:11" ht="19.5" customHeight="1">
      <c r="D420" s="14"/>
      <c r="E420" s="14"/>
      <c r="F420" s="14"/>
      <c r="G420" s="14"/>
      <c r="K420" s="8"/>
    </row>
    <row r="421" spans="4:11" ht="19.5" customHeight="1">
      <c r="D421" s="14"/>
      <c r="E421" s="14"/>
      <c r="F421" s="14"/>
      <c r="G421" s="14"/>
      <c r="K421" s="8"/>
    </row>
    <row r="422" spans="4:11" ht="19.5" customHeight="1">
      <c r="D422" s="14"/>
      <c r="E422" s="14"/>
      <c r="F422" s="14"/>
      <c r="G422" s="14"/>
      <c r="K422" s="8"/>
    </row>
    <row r="423" spans="4:11" ht="19.5" customHeight="1">
      <c r="D423" s="14"/>
      <c r="E423" s="14"/>
      <c r="F423" s="14"/>
      <c r="G423" s="14"/>
      <c r="K423" s="8"/>
    </row>
    <row r="424" spans="4:11" ht="19.5" customHeight="1">
      <c r="D424" s="14"/>
      <c r="E424" s="14"/>
      <c r="F424" s="14"/>
      <c r="G424" s="14"/>
      <c r="K424" s="8"/>
    </row>
    <row r="425" spans="4:11" ht="19.5" customHeight="1">
      <c r="D425" s="14"/>
      <c r="E425" s="14"/>
      <c r="F425" s="14"/>
      <c r="G425" s="14"/>
      <c r="K425" s="8"/>
    </row>
    <row r="426" spans="4:11" ht="19.5" customHeight="1">
      <c r="D426" s="14"/>
      <c r="E426" s="14"/>
      <c r="F426" s="14"/>
      <c r="G426" s="14"/>
      <c r="K426" s="8"/>
    </row>
    <row r="427" spans="4:11" ht="19.5" customHeight="1">
      <c r="D427" s="14"/>
      <c r="E427" s="14"/>
      <c r="F427" s="14"/>
      <c r="G427" s="14"/>
      <c r="K427" s="8"/>
    </row>
    <row r="428" spans="4:11" ht="19.5" customHeight="1">
      <c r="D428" s="14"/>
      <c r="E428" s="14"/>
      <c r="F428" s="14"/>
      <c r="G428" s="14"/>
      <c r="K428" s="8"/>
    </row>
    <row r="429" spans="4:11" ht="19.5" customHeight="1">
      <c r="D429" s="14"/>
      <c r="E429" s="14"/>
      <c r="F429" s="14"/>
      <c r="G429" s="14"/>
      <c r="K429" s="8"/>
    </row>
    <row r="430" spans="4:11" ht="19.5" customHeight="1">
      <c r="D430" s="14"/>
      <c r="E430" s="14"/>
      <c r="F430" s="14"/>
      <c r="G430" s="14"/>
      <c r="K430" s="8"/>
    </row>
    <row r="431" spans="4:11" ht="19.5" customHeight="1">
      <c r="D431" s="14"/>
      <c r="E431" s="14"/>
      <c r="F431" s="14"/>
      <c r="G431" s="14"/>
      <c r="K431" s="8"/>
    </row>
    <row r="432" spans="4:11" ht="19.5" customHeight="1">
      <c r="D432" s="14"/>
      <c r="E432" s="14"/>
      <c r="F432" s="14"/>
      <c r="G432" s="14"/>
      <c r="K432" s="8"/>
    </row>
    <row r="433" spans="4:11" ht="19.5" customHeight="1">
      <c r="D433" s="14"/>
      <c r="E433" s="14"/>
      <c r="F433" s="14"/>
      <c r="G433" s="14"/>
      <c r="K433" s="8"/>
    </row>
    <row r="434" spans="4:11" ht="19.5" customHeight="1">
      <c r="D434" s="14"/>
      <c r="E434" s="14"/>
      <c r="F434" s="14"/>
      <c r="G434" s="14"/>
      <c r="K434" s="8"/>
    </row>
    <row r="435" spans="4:11" ht="19.5" customHeight="1">
      <c r="D435" s="14"/>
      <c r="E435" s="14"/>
      <c r="F435" s="14"/>
      <c r="G435" s="14"/>
      <c r="K435" s="8"/>
    </row>
    <row r="436" spans="4:11" ht="19.5" customHeight="1">
      <c r="D436" s="14"/>
      <c r="E436" s="14"/>
      <c r="F436" s="14"/>
      <c r="G436" s="14"/>
      <c r="K436" s="8"/>
    </row>
    <row r="437" spans="4:11" ht="19.5" customHeight="1">
      <c r="D437" s="14"/>
      <c r="E437" s="14"/>
      <c r="F437" s="14"/>
      <c r="G437" s="14"/>
      <c r="K437" s="8"/>
    </row>
    <row r="438" spans="4:11" ht="19.5" customHeight="1">
      <c r="D438" s="14"/>
      <c r="E438" s="14"/>
      <c r="F438" s="14"/>
      <c r="G438" s="14"/>
      <c r="K438" s="8"/>
    </row>
    <row r="439" spans="4:11" ht="19.5" customHeight="1">
      <c r="D439" s="14"/>
      <c r="E439" s="14"/>
      <c r="F439" s="14"/>
      <c r="G439" s="14"/>
      <c r="K439" s="8"/>
    </row>
    <row r="440" spans="4:11" ht="19.5" customHeight="1">
      <c r="D440" s="14"/>
      <c r="E440" s="14"/>
      <c r="F440" s="14"/>
      <c r="G440" s="14"/>
      <c r="K440" s="8"/>
    </row>
    <row r="441" spans="4:11" ht="19.5" customHeight="1">
      <c r="D441" s="14"/>
      <c r="E441" s="14"/>
      <c r="F441" s="14"/>
      <c r="G441" s="14"/>
      <c r="K441" s="8"/>
    </row>
    <row r="442" spans="4:11" ht="19.5" customHeight="1">
      <c r="D442" s="14"/>
      <c r="E442" s="14"/>
      <c r="F442" s="14"/>
      <c r="G442" s="14"/>
      <c r="K442" s="8"/>
    </row>
    <row r="443" spans="4:11" ht="19.5" customHeight="1">
      <c r="D443" s="14"/>
      <c r="E443" s="14"/>
      <c r="F443" s="14"/>
      <c r="G443" s="14"/>
      <c r="K443" s="8"/>
    </row>
    <row r="444" spans="4:11" ht="19.5" customHeight="1">
      <c r="D444" s="14"/>
      <c r="E444" s="14"/>
      <c r="F444" s="14"/>
      <c r="G444" s="14"/>
      <c r="K444" s="8"/>
    </row>
    <row r="445" spans="4:11" ht="19.5" customHeight="1">
      <c r="D445" s="14"/>
      <c r="E445" s="14"/>
      <c r="F445" s="14"/>
      <c r="G445" s="14"/>
      <c r="K445" s="8"/>
    </row>
    <row r="446" spans="4:11" ht="19.5" customHeight="1">
      <c r="D446" s="14"/>
      <c r="E446" s="14"/>
      <c r="F446" s="14"/>
      <c r="G446" s="14"/>
      <c r="K446" s="8"/>
    </row>
    <row r="447" spans="4:11" ht="19.5" customHeight="1">
      <c r="D447" s="14"/>
      <c r="E447" s="14"/>
      <c r="F447" s="14"/>
      <c r="G447" s="14"/>
      <c r="K447" s="8"/>
    </row>
    <row r="448" spans="4:11" ht="19.5" customHeight="1">
      <c r="D448" s="14"/>
      <c r="E448" s="14"/>
      <c r="F448" s="14"/>
      <c r="G448" s="14"/>
      <c r="K448" s="8"/>
    </row>
    <row r="449" spans="4:11" ht="19.5" customHeight="1">
      <c r="D449" s="14"/>
      <c r="E449" s="14"/>
      <c r="F449" s="14"/>
      <c r="G449" s="14"/>
      <c r="K449" s="8"/>
    </row>
    <row r="450" spans="4:11" ht="19.5" customHeight="1">
      <c r="D450" s="14"/>
      <c r="E450" s="14"/>
      <c r="F450" s="14"/>
      <c r="G450" s="14"/>
      <c r="K450" s="8"/>
    </row>
    <row r="451" spans="4:11" ht="19.5" customHeight="1">
      <c r="D451" s="14"/>
      <c r="E451" s="14"/>
      <c r="F451" s="14"/>
      <c r="G451" s="14"/>
      <c r="K451" s="8"/>
    </row>
    <row r="452" spans="4:11" ht="19.5" customHeight="1">
      <c r="D452" s="14"/>
      <c r="E452" s="14"/>
      <c r="F452" s="14"/>
      <c r="G452" s="14"/>
      <c r="K452" s="8"/>
    </row>
    <row r="453" spans="4:11" ht="19.5" customHeight="1">
      <c r="D453" s="14"/>
      <c r="E453" s="14"/>
      <c r="F453" s="14"/>
      <c r="G453" s="14"/>
      <c r="K453" s="8"/>
    </row>
    <row r="454" spans="4:11" ht="19.5" customHeight="1">
      <c r="D454" s="14"/>
      <c r="E454" s="14"/>
      <c r="F454" s="14"/>
      <c r="G454" s="14"/>
      <c r="K454" s="8"/>
    </row>
    <row r="455" spans="4:11" ht="19.5" customHeight="1">
      <c r="D455" s="14"/>
      <c r="E455" s="14"/>
      <c r="F455" s="14"/>
      <c r="G455" s="14"/>
      <c r="K455" s="8"/>
    </row>
    <row r="456" spans="4:11" ht="19.5" customHeight="1">
      <c r="D456" s="14"/>
      <c r="E456" s="14"/>
      <c r="F456" s="14"/>
      <c r="G456" s="14"/>
      <c r="K456" s="8"/>
    </row>
    <row r="457" spans="4:11" ht="19.5" customHeight="1">
      <c r="D457" s="14"/>
      <c r="E457" s="14"/>
      <c r="F457" s="14"/>
      <c r="G457" s="14"/>
      <c r="K457" s="8"/>
    </row>
    <row r="458" spans="4:11" ht="19.5" customHeight="1">
      <c r="D458" s="14"/>
      <c r="E458" s="14"/>
      <c r="F458" s="14"/>
      <c r="G458" s="14"/>
      <c r="K458" s="8"/>
    </row>
    <row r="459" spans="4:11" ht="19.5" customHeight="1">
      <c r="D459" s="14"/>
      <c r="E459" s="14"/>
      <c r="F459" s="14"/>
      <c r="G459" s="14"/>
      <c r="K459" s="8"/>
    </row>
    <row r="460" spans="4:11" ht="19.5" customHeight="1">
      <c r="D460" s="14"/>
      <c r="E460" s="14"/>
      <c r="F460" s="14"/>
      <c r="G460" s="14"/>
      <c r="K460" s="8"/>
    </row>
    <row r="461" spans="4:11" ht="19.5" customHeight="1">
      <c r="D461" s="14"/>
      <c r="E461" s="14"/>
      <c r="F461" s="14"/>
      <c r="G461" s="14"/>
      <c r="K461" s="8"/>
    </row>
    <row r="462" spans="4:11" ht="19.5" customHeight="1">
      <c r="D462" s="14"/>
      <c r="E462" s="14"/>
      <c r="F462" s="14"/>
      <c r="G462" s="14"/>
      <c r="K462" s="8"/>
    </row>
    <row r="463" spans="4:11" ht="19.5" customHeight="1">
      <c r="D463" s="14"/>
      <c r="E463" s="14"/>
      <c r="F463" s="14"/>
      <c r="G463" s="14"/>
      <c r="K463" s="8"/>
    </row>
    <row r="464" spans="4:11" ht="19.5" customHeight="1">
      <c r="D464" s="14"/>
      <c r="E464" s="14"/>
      <c r="F464" s="14"/>
      <c r="G464" s="14"/>
      <c r="K464" s="8"/>
    </row>
    <row r="465" spans="4:11" ht="19.5" customHeight="1">
      <c r="D465" s="14"/>
      <c r="E465" s="14"/>
      <c r="F465" s="14"/>
      <c r="G465" s="14"/>
      <c r="K465" s="8"/>
    </row>
    <row r="466" spans="4:11" ht="19.5" customHeight="1">
      <c r="D466" s="14"/>
      <c r="E466" s="14"/>
      <c r="F466" s="14"/>
      <c r="G466" s="14"/>
      <c r="K466" s="8"/>
    </row>
    <row r="467" spans="4:11" ht="19.5" customHeight="1">
      <c r="D467" s="14"/>
      <c r="E467" s="14"/>
      <c r="F467" s="14"/>
      <c r="G467" s="14"/>
      <c r="K467" s="8"/>
    </row>
    <row r="468" spans="4:11" ht="19.5" customHeight="1">
      <c r="D468" s="14"/>
      <c r="E468" s="14"/>
      <c r="F468" s="14"/>
      <c r="G468" s="14"/>
      <c r="K468" s="8"/>
    </row>
    <row r="469" spans="4:11" ht="19.5" customHeight="1">
      <c r="D469" s="14"/>
      <c r="E469" s="14"/>
      <c r="F469" s="14"/>
      <c r="G469" s="14"/>
      <c r="K469" s="8"/>
    </row>
    <row r="470" spans="4:11" ht="19.5" customHeight="1">
      <c r="D470" s="14"/>
      <c r="E470" s="14"/>
      <c r="F470" s="14"/>
      <c r="G470" s="14"/>
      <c r="K470" s="8"/>
    </row>
    <row r="471" spans="4:11" ht="19.5" customHeight="1">
      <c r="D471" s="14"/>
      <c r="E471" s="14"/>
      <c r="F471" s="14"/>
      <c r="G471" s="14"/>
      <c r="K471" s="8"/>
    </row>
    <row r="472" spans="4:11" ht="19.5" customHeight="1">
      <c r="D472" s="14"/>
      <c r="E472" s="14"/>
      <c r="F472" s="14"/>
      <c r="G472" s="14"/>
      <c r="K472" s="8"/>
    </row>
    <row r="473" spans="4:11" ht="19.5" customHeight="1">
      <c r="D473" s="14"/>
      <c r="E473" s="14"/>
      <c r="F473" s="14"/>
      <c r="G473" s="14"/>
      <c r="K473" s="8"/>
    </row>
    <row r="474" spans="4:11" ht="19.5" customHeight="1">
      <c r="D474" s="14"/>
      <c r="E474" s="14"/>
      <c r="F474" s="14"/>
      <c r="G474" s="14"/>
      <c r="K474" s="8"/>
    </row>
    <row r="475" spans="4:11" ht="19.5" customHeight="1">
      <c r="D475" s="14"/>
      <c r="E475" s="14"/>
      <c r="F475" s="14"/>
      <c r="G475" s="14"/>
      <c r="K475" s="8"/>
    </row>
    <row r="476" spans="4:11" ht="19.5" customHeight="1">
      <c r="D476" s="14"/>
      <c r="E476" s="14"/>
      <c r="F476" s="14"/>
      <c r="G476" s="14"/>
      <c r="K476" s="8"/>
    </row>
    <row r="477" spans="4:11" ht="19.5" customHeight="1">
      <c r="D477" s="14"/>
      <c r="E477" s="14"/>
      <c r="F477" s="14"/>
      <c r="G477" s="14"/>
      <c r="K477" s="8"/>
    </row>
    <row r="478" spans="4:11" ht="19.5" customHeight="1">
      <c r="D478" s="14"/>
      <c r="E478" s="14"/>
      <c r="F478" s="14"/>
      <c r="G478" s="14"/>
      <c r="K478" s="8"/>
    </row>
    <row r="479" spans="4:11" ht="19.5" customHeight="1">
      <c r="D479" s="14"/>
      <c r="E479" s="14"/>
      <c r="F479" s="14"/>
      <c r="G479" s="14"/>
      <c r="K479" s="8"/>
    </row>
    <row r="480" spans="4:11" ht="19.5" customHeight="1">
      <c r="D480" s="14"/>
      <c r="E480" s="14"/>
      <c r="F480" s="14"/>
      <c r="G480" s="14"/>
      <c r="K480" s="8"/>
    </row>
    <row r="481" spans="4:11" ht="19.5" customHeight="1">
      <c r="D481" s="14"/>
      <c r="E481" s="14"/>
      <c r="F481" s="14"/>
      <c r="G481" s="14"/>
      <c r="K481" s="8"/>
    </row>
    <row r="482" spans="4:11" ht="19.5" customHeight="1">
      <c r="D482" s="14"/>
      <c r="E482" s="14"/>
      <c r="F482" s="14"/>
      <c r="G482" s="14"/>
      <c r="K482" s="8"/>
    </row>
    <row r="483" spans="4:11" ht="19.5" customHeight="1">
      <c r="D483" s="14"/>
      <c r="E483" s="14"/>
      <c r="F483" s="14"/>
      <c r="G483" s="14"/>
      <c r="K483" s="8"/>
    </row>
    <row r="484" spans="4:11" ht="19.5" customHeight="1">
      <c r="D484" s="14"/>
      <c r="E484" s="14"/>
      <c r="F484" s="14"/>
      <c r="G484" s="14"/>
      <c r="K484" s="8"/>
    </row>
    <row r="485" spans="4:11" ht="19.5" customHeight="1">
      <c r="D485" s="14"/>
      <c r="E485" s="14"/>
      <c r="F485" s="14"/>
      <c r="G485" s="14"/>
      <c r="K485" s="8"/>
    </row>
    <row r="486" spans="4:11" ht="19.5" customHeight="1">
      <c r="D486" s="14"/>
      <c r="E486" s="14"/>
      <c r="F486" s="14"/>
      <c r="G486" s="14"/>
      <c r="K486" s="8"/>
    </row>
    <row r="487" spans="4:11" ht="19.5" customHeight="1">
      <c r="D487" s="14"/>
      <c r="E487" s="14"/>
      <c r="F487" s="14"/>
      <c r="G487" s="14"/>
      <c r="K487" s="8"/>
    </row>
    <row r="488" spans="4:11" ht="19.5" customHeight="1">
      <c r="D488" s="14"/>
      <c r="E488" s="14"/>
      <c r="F488" s="14"/>
      <c r="G488" s="14"/>
      <c r="K488" s="8"/>
    </row>
    <row r="489" spans="4:11" ht="19.5" customHeight="1">
      <c r="D489" s="14"/>
      <c r="E489" s="14"/>
      <c r="F489" s="14"/>
      <c r="G489" s="14"/>
      <c r="K489" s="8"/>
    </row>
    <row r="490" spans="4:11" ht="19.5" customHeight="1">
      <c r="D490" s="14"/>
      <c r="E490" s="14"/>
      <c r="F490" s="14"/>
      <c r="G490" s="14"/>
      <c r="K490" s="8"/>
    </row>
    <row r="491" spans="4:11" ht="19.5" customHeight="1">
      <c r="D491" s="14"/>
      <c r="E491" s="14"/>
      <c r="F491" s="14"/>
      <c r="G491" s="14"/>
      <c r="K491" s="8"/>
    </row>
    <row r="492" spans="4:11" ht="19.5" customHeight="1">
      <c r="D492" s="14"/>
      <c r="E492" s="14"/>
      <c r="F492" s="14"/>
      <c r="G492" s="14"/>
      <c r="K492" s="8"/>
    </row>
    <row r="493" spans="4:11" ht="19.5" customHeight="1">
      <c r="D493" s="14"/>
      <c r="E493" s="14"/>
      <c r="F493" s="14"/>
      <c r="G493" s="14"/>
      <c r="K493" s="8"/>
    </row>
    <row r="494" spans="4:11" ht="19.5" customHeight="1">
      <c r="D494" s="14"/>
      <c r="E494" s="14"/>
      <c r="F494" s="14"/>
      <c r="G494" s="14"/>
      <c r="K494" s="8"/>
    </row>
    <row r="495" spans="4:11" ht="19.5" customHeight="1">
      <c r="D495" s="14"/>
      <c r="E495" s="14"/>
      <c r="F495" s="14"/>
      <c r="G495" s="14"/>
      <c r="K495" s="8"/>
    </row>
    <row r="496" spans="4:11" ht="19.5" customHeight="1">
      <c r="D496" s="14"/>
      <c r="E496" s="14"/>
      <c r="F496" s="14"/>
      <c r="G496" s="14"/>
      <c r="K496" s="8"/>
    </row>
    <row r="497" spans="4:11" ht="19.5" customHeight="1">
      <c r="D497" s="14"/>
      <c r="E497" s="14"/>
      <c r="F497" s="14"/>
      <c r="G497" s="14"/>
      <c r="K497" s="8"/>
    </row>
    <row r="498" spans="4:11" ht="19.5" customHeight="1">
      <c r="D498" s="14"/>
      <c r="E498" s="14"/>
      <c r="F498" s="14"/>
      <c r="G498" s="14"/>
      <c r="K498" s="8"/>
    </row>
    <row r="499" spans="4:11" ht="19.5" customHeight="1">
      <c r="D499" s="14"/>
      <c r="E499" s="14"/>
      <c r="F499" s="14"/>
      <c r="G499" s="14"/>
      <c r="K499" s="8"/>
    </row>
    <row r="500" spans="4:11" ht="19.5" customHeight="1">
      <c r="D500" s="14"/>
      <c r="E500" s="14"/>
      <c r="F500" s="14"/>
      <c r="G500" s="14"/>
      <c r="K500" s="8"/>
    </row>
    <row r="501" spans="4:11" ht="19.5" customHeight="1">
      <c r="D501" s="14"/>
      <c r="E501" s="14"/>
      <c r="F501" s="14"/>
      <c r="G501" s="14"/>
      <c r="K501" s="8"/>
    </row>
    <row r="502" spans="4:11" ht="19.5" customHeight="1">
      <c r="D502" s="14"/>
      <c r="E502" s="14"/>
      <c r="F502" s="14"/>
      <c r="G502" s="14"/>
      <c r="K502" s="8"/>
    </row>
    <row r="503" spans="4:11" ht="19.5" customHeight="1">
      <c r="D503" s="14"/>
      <c r="E503" s="14"/>
      <c r="F503" s="14"/>
      <c r="G503" s="14"/>
      <c r="K503" s="8"/>
    </row>
    <row r="504" spans="4:11" ht="19.5" customHeight="1">
      <c r="D504" s="14"/>
      <c r="E504" s="14"/>
      <c r="F504" s="14"/>
      <c r="G504" s="14"/>
      <c r="K504" s="8"/>
    </row>
    <row r="505" spans="4:11" ht="19.5" customHeight="1">
      <c r="D505" s="14"/>
      <c r="E505" s="14"/>
      <c r="F505" s="14"/>
      <c r="G505" s="14"/>
      <c r="K505" s="8"/>
    </row>
    <row r="506" spans="4:11" ht="19.5" customHeight="1">
      <c r="D506" s="14"/>
      <c r="E506" s="14"/>
      <c r="F506" s="14"/>
      <c r="G506" s="14"/>
      <c r="K506" s="8"/>
    </row>
    <row r="507" spans="4:11" ht="19.5" customHeight="1">
      <c r="D507" s="14"/>
      <c r="E507" s="14"/>
      <c r="F507" s="14"/>
      <c r="G507" s="14"/>
      <c r="K507" s="8"/>
    </row>
    <row r="508" spans="4:11" ht="19.5" customHeight="1">
      <c r="D508" s="14"/>
      <c r="E508" s="14"/>
      <c r="F508" s="14"/>
      <c r="G508" s="14"/>
      <c r="K508" s="8"/>
    </row>
    <row r="509" spans="4:11" ht="19.5" customHeight="1">
      <c r="D509" s="14"/>
      <c r="E509" s="14"/>
      <c r="F509" s="14"/>
      <c r="G509" s="14"/>
      <c r="K509" s="8"/>
    </row>
    <row r="510" spans="4:11" ht="19.5" customHeight="1">
      <c r="D510" s="14"/>
      <c r="E510" s="14"/>
      <c r="F510" s="14"/>
      <c r="G510" s="14"/>
      <c r="K510" s="8"/>
    </row>
    <row r="511" spans="4:11" ht="19.5" customHeight="1">
      <c r="D511" s="14"/>
      <c r="E511" s="14"/>
      <c r="F511" s="14"/>
      <c r="G511" s="14"/>
      <c r="K511" s="8"/>
    </row>
    <row r="512" spans="4:11" ht="19.5" customHeight="1">
      <c r="D512" s="14"/>
      <c r="E512" s="14"/>
      <c r="F512" s="14"/>
      <c r="G512" s="14"/>
      <c r="K512" s="8"/>
    </row>
    <row r="513" spans="4:11" ht="19.5" customHeight="1">
      <c r="D513" s="14"/>
      <c r="E513" s="14"/>
      <c r="F513" s="14"/>
      <c r="G513" s="14"/>
      <c r="K513" s="8"/>
    </row>
    <row r="514" spans="4:11" ht="19.5" customHeight="1">
      <c r="D514" s="14"/>
      <c r="E514" s="14"/>
      <c r="F514" s="14"/>
      <c r="G514" s="14"/>
      <c r="K514" s="8"/>
    </row>
    <row r="515" spans="4:11" ht="19.5" customHeight="1">
      <c r="D515" s="14"/>
      <c r="E515" s="14"/>
      <c r="F515" s="14"/>
      <c r="G515" s="14"/>
      <c r="K515" s="8"/>
    </row>
    <row r="516" spans="4:11" ht="19.5" customHeight="1">
      <c r="D516" s="14"/>
      <c r="E516" s="14"/>
      <c r="F516" s="14"/>
      <c r="G516" s="14"/>
      <c r="K516" s="8"/>
    </row>
    <row r="517" spans="4:11" ht="19.5" customHeight="1">
      <c r="D517" s="14"/>
      <c r="E517" s="14"/>
      <c r="F517" s="14"/>
      <c r="G517" s="14"/>
      <c r="K517" s="8"/>
    </row>
    <row r="518" spans="4:11" ht="19.5" customHeight="1">
      <c r="D518" s="14"/>
      <c r="E518" s="14"/>
      <c r="F518" s="14"/>
      <c r="G518" s="14"/>
      <c r="K518" s="8"/>
    </row>
    <row r="519" spans="4:11" ht="19.5" customHeight="1">
      <c r="D519" s="14"/>
      <c r="E519" s="14"/>
      <c r="F519" s="14"/>
      <c r="G519" s="14"/>
      <c r="K519" s="8"/>
    </row>
    <row r="520" spans="4:11" ht="19.5" customHeight="1">
      <c r="D520" s="14"/>
      <c r="E520" s="14"/>
      <c r="F520" s="14"/>
      <c r="G520" s="14"/>
      <c r="K520" s="8"/>
    </row>
    <row r="521" spans="4:11" ht="19.5" customHeight="1">
      <c r="D521" s="14"/>
      <c r="E521" s="14"/>
      <c r="F521" s="14"/>
      <c r="G521" s="14"/>
      <c r="K521" s="8"/>
    </row>
    <row r="522" spans="4:11" ht="19.5" customHeight="1">
      <c r="D522" s="14"/>
      <c r="E522" s="14"/>
      <c r="F522" s="14"/>
      <c r="G522" s="14"/>
      <c r="K522" s="8"/>
    </row>
    <row r="523" spans="4:11" ht="19.5" customHeight="1">
      <c r="D523" s="14"/>
      <c r="E523" s="14"/>
      <c r="F523" s="14"/>
      <c r="G523" s="14"/>
      <c r="K523" s="8"/>
    </row>
    <row r="524" spans="4:11" ht="19.5" customHeight="1">
      <c r="D524" s="14"/>
      <c r="E524" s="14"/>
      <c r="F524" s="14"/>
      <c r="G524" s="14"/>
      <c r="K524" s="8"/>
    </row>
    <row r="525" spans="4:11" ht="19.5" customHeight="1">
      <c r="D525" s="14"/>
      <c r="E525" s="14"/>
      <c r="F525" s="14"/>
      <c r="G525" s="14"/>
      <c r="K525" s="8"/>
    </row>
    <row r="526" spans="4:11" ht="19.5" customHeight="1">
      <c r="D526" s="14"/>
      <c r="E526" s="14"/>
      <c r="F526" s="14"/>
      <c r="G526" s="14"/>
      <c r="K526" s="8"/>
    </row>
    <row r="527" spans="4:11" ht="19.5" customHeight="1">
      <c r="D527" s="14"/>
      <c r="E527" s="14"/>
      <c r="F527" s="14"/>
      <c r="G527" s="14"/>
      <c r="K527" s="8"/>
    </row>
    <row r="528" spans="4:11" ht="19.5" customHeight="1">
      <c r="D528" s="14"/>
      <c r="E528" s="14"/>
      <c r="F528" s="14"/>
      <c r="G528" s="14"/>
      <c r="K528" s="8"/>
    </row>
    <row r="529" spans="4:11" ht="19.5" customHeight="1">
      <c r="D529" s="14"/>
      <c r="E529" s="14"/>
      <c r="F529" s="14"/>
      <c r="G529" s="14"/>
      <c r="K529" s="8"/>
    </row>
    <row r="530" spans="4:11" ht="19.5" customHeight="1">
      <c r="D530" s="14"/>
      <c r="E530" s="14"/>
      <c r="F530" s="14"/>
      <c r="G530" s="14"/>
      <c r="K530" s="8"/>
    </row>
    <row r="531" spans="4:11" ht="19.5" customHeight="1">
      <c r="D531" s="14"/>
      <c r="E531" s="14"/>
      <c r="F531" s="14"/>
      <c r="G531" s="14"/>
      <c r="K531" s="8"/>
    </row>
    <row r="532" spans="4:11" ht="19.5" customHeight="1">
      <c r="D532" s="14"/>
      <c r="E532" s="14"/>
      <c r="F532" s="14"/>
      <c r="G532" s="14"/>
      <c r="K532" s="8"/>
    </row>
    <row r="533" spans="4:11" ht="19.5" customHeight="1">
      <c r="D533" s="14"/>
      <c r="E533" s="14"/>
      <c r="F533" s="14"/>
      <c r="G533" s="14"/>
      <c r="K533" s="8"/>
    </row>
    <row r="534" spans="4:11" ht="19.5" customHeight="1">
      <c r="D534" s="14"/>
      <c r="E534" s="14"/>
      <c r="F534" s="14"/>
      <c r="G534" s="14"/>
      <c r="K534" s="8"/>
    </row>
    <row r="535" spans="4:11" ht="19.5" customHeight="1">
      <c r="D535" s="14"/>
      <c r="E535" s="14"/>
      <c r="F535" s="14"/>
      <c r="G535" s="14"/>
      <c r="K535" s="8"/>
    </row>
    <row r="536" spans="4:11" ht="19.5" customHeight="1">
      <c r="D536" s="14"/>
      <c r="E536" s="14"/>
      <c r="F536" s="14"/>
      <c r="G536" s="14"/>
      <c r="K536" s="8"/>
    </row>
    <row r="537" spans="4:11" ht="19.5" customHeight="1">
      <c r="D537" s="14"/>
      <c r="E537" s="14"/>
      <c r="F537" s="14"/>
      <c r="G537" s="14"/>
      <c r="K537" s="8"/>
    </row>
    <row r="538" spans="4:11" ht="19.5" customHeight="1">
      <c r="D538" s="14"/>
      <c r="E538" s="14"/>
      <c r="F538" s="14"/>
      <c r="G538" s="14"/>
      <c r="K538" s="8"/>
    </row>
    <row r="539" spans="4:11" ht="19.5" customHeight="1">
      <c r="D539" s="14"/>
      <c r="E539" s="14"/>
      <c r="F539" s="14"/>
      <c r="G539" s="14"/>
      <c r="K539" s="8"/>
    </row>
    <row r="540" spans="4:11" ht="19.5" customHeight="1">
      <c r="D540" s="14"/>
      <c r="E540" s="14"/>
      <c r="F540" s="14"/>
      <c r="G540" s="14"/>
      <c r="K540" s="8"/>
    </row>
    <row r="541" spans="4:11" ht="19.5" customHeight="1">
      <c r="D541" s="14"/>
      <c r="E541" s="14"/>
      <c r="F541" s="14"/>
      <c r="G541" s="14"/>
      <c r="K541" s="8"/>
    </row>
    <row r="542" spans="4:11" ht="19.5" customHeight="1">
      <c r="D542" s="14"/>
      <c r="E542" s="14"/>
      <c r="F542" s="14"/>
      <c r="G542" s="14"/>
      <c r="K542" s="8"/>
    </row>
    <row r="543" spans="4:11" ht="19.5" customHeight="1">
      <c r="D543" s="14"/>
      <c r="E543" s="14"/>
      <c r="F543" s="14"/>
      <c r="G543" s="14"/>
      <c r="K543" s="8"/>
    </row>
    <row r="544" spans="4:11" ht="19.5" customHeight="1">
      <c r="D544" s="14"/>
      <c r="E544" s="14"/>
      <c r="F544" s="14"/>
      <c r="G544" s="14"/>
      <c r="K544" s="8"/>
    </row>
    <row r="545" spans="4:11" ht="19.5" customHeight="1">
      <c r="D545" s="14"/>
      <c r="E545" s="14"/>
      <c r="F545" s="14"/>
      <c r="G545" s="14"/>
      <c r="K545" s="8"/>
    </row>
    <row r="546" spans="4:11" ht="19.5" customHeight="1">
      <c r="D546" s="14"/>
      <c r="E546" s="14"/>
      <c r="F546" s="14"/>
      <c r="G546" s="14"/>
      <c r="K546" s="8"/>
    </row>
    <row r="547" spans="4:11" ht="19.5" customHeight="1">
      <c r="D547" s="14"/>
      <c r="E547" s="14"/>
      <c r="F547" s="14"/>
      <c r="G547" s="14"/>
      <c r="K547" s="8"/>
    </row>
    <row r="548" spans="4:11" ht="19.5" customHeight="1">
      <c r="D548" s="14"/>
      <c r="E548" s="14"/>
      <c r="F548" s="14"/>
      <c r="G548" s="14"/>
      <c r="K548" s="8"/>
    </row>
    <row r="549" spans="4:11" ht="19.5" customHeight="1">
      <c r="D549" s="14"/>
      <c r="E549" s="14"/>
      <c r="F549" s="14"/>
      <c r="G549" s="14"/>
      <c r="K549" s="8"/>
    </row>
    <row r="550" spans="4:11" ht="19.5" customHeight="1">
      <c r="D550" s="14"/>
      <c r="E550" s="14"/>
      <c r="F550" s="14"/>
      <c r="G550" s="14"/>
      <c r="K550" s="8"/>
    </row>
    <row r="551" spans="4:11" ht="19.5" customHeight="1">
      <c r="D551" s="14"/>
      <c r="E551" s="14"/>
      <c r="F551" s="14"/>
      <c r="G551" s="14"/>
      <c r="K551" s="8"/>
    </row>
    <row r="552" spans="4:11" ht="19.5" customHeight="1">
      <c r="D552" s="14"/>
      <c r="E552" s="14"/>
      <c r="F552" s="14"/>
      <c r="G552" s="14"/>
      <c r="K552" s="8"/>
    </row>
    <row r="553" spans="4:11" ht="19.5" customHeight="1">
      <c r="D553" s="14"/>
      <c r="E553" s="14"/>
      <c r="F553" s="14"/>
      <c r="G553" s="14"/>
      <c r="K553" s="8"/>
    </row>
    <row r="554" spans="4:11" ht="19.5" customHeight="1">
      <c r="D554" s="14"/>
      <c r="E554" s="14"/>
      <c r="F554" s="14"/>
      <c r="G554" s="14"/>
      <c r="K554" s="8"/>
    </row>
    <row r="555" spans="4:11" ht="19.5" customHeight="1">
      <c r="D555" s="14"/>
      <c r="E555" s="14"/>
      <c r="F555" s="14"/>
      <c r="G555" s="14"/>
      <c r="K555" s="8"/>
    </row>
    <row r="556" spans="4:11" ht="19.5" customHeight="1">
      <c r="D556" s="14"/>
      <c r="E556" s="14"/>
      <c r="F556" s="14"/>
      <c r="G556" s="14"/>
      <c r="K556" s="8"/>
    </row>
    <row r="557" spans="4:11" ht="19.5" customHeight="1">
      <c r="D557" s="14"/>
      <c r="E557" s="14"/>
      <c r="F557" s="14"/>
      <c r="G557" s="14"/>
      <c r="K557" s="8"/>
    </row>
    <row r="558" spans="4:11" ht="19.5" customHeight="1">
      <c r="D558" s="14"/>
      <c r="E558" s="14"/>
      <c r="F558" s="14"/>
      <c r="G558" s="14"/>
      <c r="K558" s="8"/>
    </row>
    <row r="559" spans="4:11" ht="19.5" customHeight="1">
      <c r="D559" s="14"/>
      <c r="E559" s="14"/>
      <c r="F559" s="14"/>
      <c r="G559" s="14"/>
      <c r="K559" s="8"/>
    </row>
    <row r="560" spans="4:11" ht="19.5" customHeight="1">
      <c r="D560" s="14"/>
      <c r="E560" s="14"/>
      <c r="F560" s="14"/>
      <c r="G560" s="14"/>
      <c r="K560" s="8"/>
    </row>
    <row r="561" spans="4:11" ht="19.5" customHeight="1">
      <c r="D561" s="14"/>
      <c r="E561" s="14"/>
      <c r="F561" s="14"/>
      <c r="G561" s="14"/>
      <c r="K561" s="8"/>
    </row>
    <row r="562" spans="4:11" ht="19.5" customHeight="1">
      <c r="D562" s="14"/>
      <c r="E562" s="14"/>
      <c r="F562" s="14"/>
      <c r="G562" s="14"/>
      <c r="K562" s="8"/>
    </row>
    <row r="563" spans="4:11" ht="19.5" customHeight="1">
      <c r="D563" s="14"/>
      <c r="E563" s="14"/>
      <c r="F563" s="14"/>
      <c r="G563" s="14"/>
      <c r="K563" s="8"/>
    </row>
    <row r="564" spans="4:11" ht="19.5" customHeight="1">
      <c r="D564" s="14"/>
      <c r="E564" s="14"/>
      <c r="F564" s="14"/>
      <c r="G564" s="14"/>
      <c r="K564" s="8"/>
    </row>
    <row r="565" spans="4:11" ht="19.5" customHeight="1">
      <c r="D565" s="14"/>
      <c r="E565" s="14"/>
      <c r="F565" s="14"/>
      <c r="G565" s="14"/>
      <c r="K565" s="8"/>
    </row>
    <row r="566" spans="4:11" ht="19.5" customHeight="1">
      <c r="D566" s="14"/>
      <c r="E566" s="14"/>
      <c r="F566" s="14"/>
      <c r="G566" s="14"/>
      <c r="K566" s="8"/>
    </row>
    <row r="567" spans="4:11" ht="19.5" customHeight="1">
      <c r="D567" s="14"/>
      <c r="E567" s="14"/>
      <c r="F567" s="14"/>
      <c r="G567" s="14"/>
      <c r="K567" s="8"/>
    </row>
    <row r="568" spans="4:11" ht="19.5" customHeight="1">
      <c r="D568" s="14"/>
      <c r="E568" s="14"/>
      <c r="F568" s="14"/>
      <c r="G568" s="14"/>
      <c r="K568" s="8"/>
    </row>
    <row r="569" spans="4:11" ht="19.5" customHeight="1">
      <c r="D569" s="14"/>
      <c r="E569" s="14"/>
      <c r="F569" s="14"/>
      <c r="G569" s="14"/>
      <c r="K569" s="8"/>
    </row>
    <row r="570" spans="4:11" ht="19.5" customHeight="1">
      <c r="D570" s="14"/>
      <c r="E570" s="14"/>
      <c r="F570" s="14"/>
      <c r="G570" s="14"/>
      <c r="K570" s="8"/>
    </row>
    <row r="571" spans="4:11" ht="19.5" customHeight="1">
      <c r="D571" s="14"/>
      <c r="E571" s="14"/>
      <c r="F571" s="14"/>
      <c r="G571" s="14"/>
      <c r="K571" s="8"/>
    </row>
    <row r="572" spans="4:11" ht="19.5" customHeight="1">
      <c r="D572" s="14"/>
      <c r="E572" s="14"/>
      <c r="F572" s="14"/>
      <c r="G572" s="14"/>
      <c r="K572" s="8"/>
    </row>
    <row r="573" spans="4:11" ht="19.5" customHeight="1">
      <c r="D573" s="14"/>
      <c r="E573" s="14"/>
      <c r="F573" s="14"/>
      <c r="G573" s="14"/>
      <c r="K573" s="8"/>
    </row>
    <row r="574" spans="4:11" ht="19.5" customHeight="1">
      <c r="D574" s="14"/>
      <c r="E574" s="14"/>
      <c r="F574" s="14"/>
      <c r="G574" s="14"/>
      <c r="K574" s="8"/>
    </row>
    <row r="575" spans="4:11" ht="19.5" customHeight="1">
      <c r="D575" s="14"/>
      <c r="E575" s="14"/>
      <c r="F575" s="14"/>
      <c r="G575" s="14"/>
      <c r="K575" s="8"/>
    </row>
    <row r="576" spans="4:11" ht="19.5" customHeight="1">
      <c r="D576" s="14"/>
      <c r="E576" s="14"/>
      <c r="F576" s="14"/>
      <c r="G576" s="14"/>
      <c r="K576" s="8"/>
    </row>
    <row r="577" spans="4:11" ht="19.5" customHeight="1">
      <c r="D577" s="14"/>
      <c r="E577" s="14"/>
      <c r="F577" s="14"/>
      <c r="G577" s="14"/>
      <c r="K577" s="8"/>
    </row>
    <row r="578" spans="4:11" ht="19.5" customHeight="1">
      <c r="D578" s="14"/>
      <c r="E578" s="14"/>
      <c r="F578" s="14"/>
      <c r="G578" s="14"/>
      <c r="K578" s="8"/>
    </row>
    <row r="579" spans="4:11" ht="19.5" customHeight="1">
      <c r="D579" s="14"/>
      <c r="E579" s="14"/>
      <c r="F579" s="14"/>
      <c r="G579" s="14"/>
      <c r="K579" s="8"/>
    </row>
    <row r="580" spans="4:11" ht="19.5" customHeight="1">
      <c r="D580" s="14"/>
      <c r="E580" s="14"/>
      <c r="F580" s="14"/>
      <c r="G580" s="14"/>
      <c r="K580" s="8"/>
    </row>
    <row r="581" spans="4:11" ht="19.5" customHeight="1">
      <c r="D581" s="14"/>
      <c r="E581" s="14"/>
      <c r="F581" s="14"/>
      <c r="G581" s="14"/>
      <c r="K581" s="8"/>
    </row>
    <row r="582" spans="4:11" ht="19.5" customHeight="1">
      <c r="D582" s="14"/>
      <c r="E582" s="14"/>
      <c r="F582" s="14"/>
      <c r="G582" s="14"/>
      <c r="K582" s="8"/>
    </row>
    <row r="583" spans="4:11" ht="19.5" customHeight="1">
      <c r="D583" s="14"/>
      <c r="E583" s="14"/>
      <c r="F583" s="14"/>
      <c r="G583" s="14"/>
      <c r="K583" s="8"/>
    </row>
    <row r="584" spans="4:11" ht="19.5" customHeight="1">
      <c r="D584" s="14"/>
      <c r="E584" s="14"/>
      <c r="F584" s="14"/>
      <c r="G584" s="14"/>
      <c r="K584" s="8"/>
    </row>
    <row r="585" spans="4:11" ht="19.5" customHeight="1">
      <c r="D585" s="14"/>
      <c r="E585" s="14"/>
      <c r="F585" s="14"/>
      <c r="G585" s="14"/>
      <c r="K585" s="8"/>
    </row>
    <row r="586" spans="4:11" ht="19.5" customHeight="1">
      <c r="D586" s="14"/>
      <c r="E586" s="14"/>
      <c r="F586" s="14"/>
      <c r="G586" s="14"/>
      <c r="K586" s="8"/>
    </row>
    <row r="587" spans="4:11" ht="19.5" customHeight="1">
      <c r="D587" s="14"/>
      <c r="E587" s="14"/>
      <c r="F587" s="14"/>
      <c r="G587" s="14"/>
      <c r="K587" s="8"/>
    </row>
    <row r="588" spans="4:11" ht="19.5" customHeight="1">
      <c r="D588" s="14"/>
      <c r="E588" s="14"/>
      <c r="F588" s="14"/>
      <c r="G588" s="14"/>
      <c r="K588" s="8"/>
    </row>
    <row r="589" spans="4:11" ht="19.5" customHeight="1">
      <c r="D589" s="14"/>
      <c r="E589" s="14"/>
      <c r="F589" s="14"/>
      <c r="G589" s="14"/>
      <c r="K589" s="8"/>
    </row>
    <row r="590" spans="4:11" ht="19.5" customHeight="1">
      <c r="D590" s="14"/>
      <c r="E590" s="14"/>
      <c r="F590" s="14"/>
      <c r="G590" s="14"/>
      <c r="K590" s="8"/>
    </row>
    <row r="591" spans="4:11" ht="19.5" customHeight="1">
      <c r="D591" s="14"/>
      <c r="E591" s="14"/>
      <c r="F591" s="14"/>
      <c r="G591" s="14"/>
      <c r="K591" s="8"/>
    </row>
    <row r="592" spans="4:11" ht="19.5" customHeight="1">
      <c r="D592" s="14"/>
      <c r="E592" s="14"/>
      <c r="F592" s="14"/>
      <c r="G592" s="14"/>
      <c r="K592" s="8"/>
    </row>
    <row r="593" spans="4:11" ht="19.5" customHeight="1">
      <c r="D593" s="14"/>
      <c r="E593" s="14"/>
      <c r="F593" s="14"/>
      <c r="G593" s="14"/>
      <c r="K593" s="8"/>
    </row>
    <row r="594" spans="4:11" ht="19.5" customHeight="1">
      <c r="D594" s="14"/>
      <c r="E594" s="14"/>
      <c r="F594" s="14"/>
      <c r="G594" s="14"/>
      <c r="K594" s="8"/>
    </row>
    <row r="595" spans="4:11" ht="19.5" customHeight="1">
      <c r="D595" s="14"/>
      <c r="E595" s="14"/>
      <c r="F595" s="14"/>
      <c r="G595" s="14"/>
      <c r="K595" s="8"/>
    </row>
    <row r="596" spans="4:11" ht="19.5" customHeight="1">
      <c r="D596" s="14"/>
      <c r="E596" s="14"/>
      <c r="F596" s="14"/>
      <c r="G596" s="14"/>
      <c r="K596" s="8"/>
    </row>
    <row r="597" spans="4:11" ht="19.5" customHeight="1">
      <c r="D597" s="14"/>
      <c r="E597" s="14"/>
      <c r="F597" s="14"/>
      <c r="G597" s="14"/>
      <c r="K597" s="8"/>
    </row>
    <row r="598" spans="4:11" ht="19.5" customHeight="1">
      <c r="D598" s="14"/>
      <c r="E598" s="14"/>
      <c r="F598" s="14"/>
      <c r="G598" s="14"/>
      <c r="K598" s="8"/>
    </row>
    <row r="599" spans="4:11" ht="19.5" customHeight="1">
      <c r="D599" s="14"/>
      <c r="E599" s="14"/>
      <c r="F599" s="14"/>
      <c r="G599" s="14"/>
      <c r="K599" s="8"/>
    </row>
    <row r="600" spans="4:11" ht="19.5" customHeight="1">
      <c r="D600" s="14"/>
      <c r="E600" s="14"/>
      <c r="F600" s="14"/>
      <c r="G600" s="14"/>
      <c r="K600" s="8"/>
    </row>
    <row r="601" spans="4:11" ht="19.5" customHeight="1">
      <c r="D601" s="14"/>
      <c r="E601" s="14"/>
      <c r="F601" s="14"/>
      <c r="G601" s="14"/>
      <c r="K601" s="8"/>
    </row>
    <row r="602" spans="4:11" ht="19.5" customHeight="1">
      <c r="D602" s="14"/>
      <c r="E602" s="14"/>
      <c r="F602" s="14"/>
      <c r="G602" s="14"/>
      <c r="K602" s="8"/>
    </row>
    <row r="603" spans="4:11" ht="19.5" customHeight="1">
      <c r="D603" s="14"/>
      <c r="E603" s="14"/>
      <c r="F603" s="14"/>
      <c r="G603" s="14"/>
      <c r="K603" s="8"/>
    </row>
    <row r="604" spans="4:11" ht="19.5" customHeight="1">
      <c r="D604" s="14"/>
      <c r="E604" s="14"/>
      <c r="F604" s="14"/>
      <c r="G604" s="14"/>
      <c r="K604" s="8"/>
    </row>
    <row r="605" spans="4:11" ht="19.5" customHeight="1">
      <c r="D605" s="14"/>
      <c r="E605" s="14"/>
      <c r="F605" s="14"/>
      <c r="G605" s="14"/>
      <c r="K605" s="8"/>
    </row>
    <row r="606" spans="4:11" ht="19.5" customHeight="1">
      <c r="D606" s="14"/>
      <c r="E606" s="14"/>
      <c r="F606" s="14"/>
      <c r="G606" s="14"/>
      <c r="K606" s="8"/>
    </row>
    <row r="607" spans="4:11" ht="19.5" customHeight="1">
      <c r="D607" s="14"/>
      <c r="E607" s="14"/>
      <c r="F607" s="14"/>
      <c r="G607" s="14"/>
      <c r="K607" s="8"/>
    </row>
    <row r="608" spans="4:11" ht="19.5" customHeight="1">
      <c r="D608" s="14"/>
      <c r="E608" s="14"/>
      <c r="F608" s="14"/>
      <c r="G608" s="14"/>
      <c r="K608" s="8"/>
    </row>
    <row r="609" spans="4:11" ht="19.5" customHeight="1">
      <c r="D609" s="14"/>
      <c r="E609" s="14"/>
      <c r="F609" s="14"/>
      <c r="G609" s="14"/>
      <c r="K609" s="8"/>
    </row>
    <row r="610" spans="4:11" ht="19.5" customHeight="1">
      <c r="D610" s="14"/>
      <c r="E610" s="14"/>
      <c r="F610" s="14"/>
      <c r="G610" s="14"/>
      <c r="K610" s="8"/>
    </row>
    <row r="611" spans="4:11" ht="19.5" customHeight="1">
      <c r="D611" s="14"/>
      <c r="E611" s="14"/>
      <c r="F611" s="14"/>
      <c r="G611" s="14"/>
      <c r="K611" s="8"/>
    </row>
    <row r="612" spans="4:11" ht="19.5" customHeight="1">
      <c r="D612" s="14"/>
      <c r="E612" s="14"/>
      <c r="F612" s="14"/>
      <c r="G612" s="14"/>
      <c r="K612" s="8"/>
    </row>
    <row r="613" spans="4:11" ht="19.5" customHeight="1">
      <c r="D613" s="14"/>
      <c r="E613" s="14"/>
      <c r="F613" s="14"/>
      <c r="G613" s="14"/>
      <c r="K613" s="8"/>
    </row>
    <row r="614" spans="4:11" ht="19.5" customHeight="1">
      <c r="D614" s="14"/>
      <c r="E614" s="14"/>
      <c r="F614" s="14"/>
      <c r="G614" s="14"/>
      <c r="K614" s="8"/>
    </row>
    <row r="615" spans="4:11" ht="19.5" customHeight="1">
      <c r="D615" s="14"/>
      <c r="E615" s="14"/>
      <c r="F615" s="14"/>
      <c r="G615" s="14"/>
      <c r="K615" s="8"/>
    </row>
    <row r="616" spans="4:11" ht="19.5" customHeight="1">
      <c r="D616" s="14"/>
      <c r="E616" s="14"/>
      <c r="F616" s="14"/>
      <c r="G616" s="14"/>
      <c r="K616" s="8"/>
    </row>
    <row r="617" spans="4:11" ht="19.5" customHeight="1">
      <c r="D617" s="14"/>
      <c r="E617" s="14"/>
      <c r="F617" s="14"/>
      <c r="G617" s="14"/>
      <c r="K617" s="8"/>
    </row>
    <row r="618" spans="4:11" ht="19.5" customHeight="1">
      <c r="D618" s="14"/>
      <c r="E618" s="14"/>
      <c r="F618" s="14"/>
      <c r="G618" s="14"/>
      <c r="K618" s="8"/>
    </row>
    <row r="619" spans="4:11" ht="19.5" customHeight="1">
      <c r="D619" s="14"/>
      <c r="E619" s="14"/>
      <c r="F619" s="14"/>
      <c r="G619" s="14"/>
      <c r="K619" s="8"/>
    </row>
    <row r="620" spans="4:11" ht="19.5" customHeight="1">
      <c r="D620" s="14"/>
      <c r="E620" s="14"/>
      <c r="F620" s="14"/>
      <c r="G620" s="14"/>
      <c r="K620" s="8"/>
    </row>
    <row r="621" spans="4:11" ht="19.5" customHeight="1">
      <c r="D621" s="14"/>
      <c r="E621" s="14"/>
      <c r="F621" s="14"/>
      <c r="G621" s="14"/>
      <c r="K621" s="8"/>
    </row>
    <row r="622" spans="4:11" ht="19.5" customHeight="1">
      <c r="D622" s="14"/>
      <c r="E622" s="14"/>
      <c r="F622" s="14"/>
      <c r="G622" s="14"/>
      <c r="K622" s="8"/>
    </row>
    <row r="623" spans="4:11" ht="19.5" customHeight="1">
      <c r="D623" s="14"/>
      <c r="E623" s="14"/>
      <c r="F623" s="14"/>
      <c r="G623" s="14"/>
      <c r="K623" s="8"/>
    </row>
    <row r="624" spans="4:11" ht="19.5" customHeight="1">
      <c r="D624" s="14"/>
      <c r="E624" s="14"/>
      <c r="F624" s="14"/>
      <c r="G624" s="14"/>
      <c r="K624" s="8"/>
    </row>
    <row r="625" spans="4:11" ht="19.5" customHeight="1">
      <c r="D625" s="14"/>
      <c r="E625" s="14"/>
      <c r="F625" s="14"/>
      <c r="G625" s="14"/>
      <c r="K625" s="8"/>
    </row>
    <row r="626" spans="4:11" ht="19.5" customHeight="1">
      <c r="D626" s="14"/>
      <c r="E626" s="14"/>
      <c r="F626" s="14"/>
      <c r="G626" s="14"/>
      <c r="K626" s="8"/>
    </row>
    <row r="627" spans="4:11" ht="19.5" customHeight="1">
      <c r="D627" s="14"/>
      <c r="E627" s="14"/>
      <c r="F627" s="14"/>
      <c r="G627" s="14"/>
      <c r="K627" s="8"/>
    </row>
    <row r="628" spans="4:11" ht="19.5" customHeight="1">
      <c r="D628" s="14"/>
      <c r="E628" s="14"/>
      <c r="F628" s="14"/>
      <c r="G628" s="14"/>
      <c r="K628" s="8"/>
    </row>
    <row r="629" spans="4:11" ht="19.5" customHeight="1">
      <c r="D629" s="14"/>
      <c r="E629" s="14"/>
      <c r="F629" s="14"/>
      <c r="G629" s="14"/>
      <c r="K629" s="8"/>
    </row>
    <row r="630" spans="4:11" ht="19.5" customHeight="1">
      <c r="D630" s="14"/>
      <c r="E630" s="14"/>
      <c r="F630" s="14"/>
      <c r="G630" s="14"/>
      <c r="K630" s="8"/>
    </row>
    <row r="631" spans="4:11" ht="19.5" customHeight="1">
      <c r="D631" s="14"/>
      <c r="E631" s="14"/>
      <c r="F631" s="14"/>
      <c r="G631" s="14"/>
      <c r="K631" s="8"/>
    </row>
    <row r="632" spans="4:11" ht="19.5" customHeight="1">
      <c r="D632" s="14"/>
      <c r="E632" s="14"/>
      <c r="F632" s="14"/>
      <c r="G632" s="14"/>
      <c r="K632" s="8"/>
    </row>
    <row r="633" spans="4:11" ht="19.5" customHeight="1">
      <c r="D633" s="14"/>
      <c r="E633" s="14"/>
      <c r="F633" s="14"/>
      <c r="G633" s="14"/>
      <c r="K633" s="8"/>
    </row>
    <row r="634" spans="4:11" ht="19.5" customHeight="1">
      <c r="D634" s="14"/>
      <c r="E634" s="14"/>
      <c r="F634" s="14"/>
      <c r="G634" s="14"/>
      <c r="K634" s="8"/>
    </row>
    <row r="635" spans="4:11" ht="19.5" customHeight="1">
      <c r="D635" s="14"/>
      <c r="E635" s="14"/>
      <c r="F635" s="14"/>
      <c r="G635" s="14"/>
      <c r="K635" s="8"/>
    </row>
    <row r="636" spans="4:11" ht="19.5" customHeight="1">
      <c r="D636" s="14"/>
      <c r="E636" s="14"/>
      <c r="F636" s="14"/>
      <c r="G636" s="14"/>
      <c r="K636" s="8"/>
    </row>
    <row r="637" spans="4:11" ht="19.5" customHeight="1">
      <c r="D637" s="14"/>
      <c r="E637" s="14"/>
      <c r="F637" s="14"/>
      <c r="G637" s="14"/>
      <c r="K637" s="8"/>
    </row>
    <row r="638" spans="4:11" ht="19.5" customHeight="1">
      <c r="D638" s="14"/>
      <c r="E638" s="14"/>
      <c r="F638" s="14"/>
      <c r="G638" s="14"/>
      <c r="K638" s="8"/>
    </row>
    <row r="639" spans="4:11" ht="19.5" customHeight="1">
      <c r="D639" s="14"/>
      <c r="E639" s="14"/>
      <c r="F639" s="14"/>
      <c r="G639" s="14"/>
      <c r="K639" s="8"/>
    </row>
    <row r="640" spans="4:11" ht="19.5" customHeight="1">
      <c r="D640" s="14"/>
      <c r="E640" s="14"/>
      <c r="F640" s="14"/>
      <c r="G640" s="14"/>
      <c r="K640" s="8"/>
    </row>
    <row r="641" spans="4:11" ht="19.5" customHeight="1">
      <c r="D641" s="14"/>
      <c r="E641" s="14"/>
      <c r="F641" s="14"/>
      <c r="G641" s="14"/>
      <c r="K641" s="8"/>
    </row>
    <row r="642" spans="4:11" ht="19.5" customHeight="1">
      <c r="D642" s="14"/>
      <c r="E642" s="14"/>
      <c r="F642" s="14"/>
      <c r="G642" s="14"/>
      <c r="K642" s="8"/>
    </row>
    <row r="643" spans="4:11" ht="19.5" customHeight="1">
      <c r="D643" s="14"/>
      <c r="E643" s="14"/>
      <c r="F643" s="14"/>
      <c r="G643" s="14"/>
      <c r="K643" s="8"/>
    </row>
    <row r="644" spans="4:11" ht="19.5" customHeight="1">
      <c r="D644" s="14"/>
      <c r="E644" s="14"/>
      <c r="F644" s="14"/>
      <c r="G644" s="14"/>
      <c r="K644" s="8"/>
    </row>
    <row r="645" spans="4:11" ht="19.5" customHeight="1">
      <c r="D645" s="14"/>
      <c r="E645" s="14"/>
      <c r="F645" s="14"/>
      <c r="G645" s="14"/>
      <c r="K645" s="8"/>
    </row>
    <row r="646" spans="4:11" ht="19.5" customHeight="1">
      <c r="D646" s="14"/>
      <c r="E646" s="14"/>
      <c r="F646" s="14"/>
      <c r="G646" s="14"/>
      <c r="K646" s="8"/>
    </row>
    <row r="647" spans="4:11" ht="19.5" customHeight="1">
      <c r="D647" s="14"/>
      <c r="E647" s="14"/>
      <c r="F647" s="14"/>
      <c r="G647" s="14"/>
      <c r="K647" s="8"/>
    </row>
    <row r="648" spans="4:11" ht="19.5" customHeight="1">
      <c r="D648" s="14"/>
      <c r="E648" s="14"/>
      <c r="F648" s="14"/>
      <c r="G648" s="14"/>
      <c r="K648" s="8"/>
    </row>
    <row r="649" spans="4:11" ht="19.5" customHeight="1">
      <c r="D649" s="14"/>
      <c r="E649" s="14"/>
      <c r="F649" s="14"/>
      <c r="G649" s="14"/>
      <c r="K649" s="8"/>
    </row>
    <row r="650" spans="4:11" ht="19.5" customHeight="1">
      <c r="D650" s="14"/>
      <c r="E650" s="14"/>
      <c r="F650" s="14"/>
      <c r="G650" s="14"/>
      <c r="K650" s="8"/>
    </row>
    <row r="651" spans="4:11" ht="19.5" customHeight="1">
      <c r="D651" s="14"/>
      <c r="E651" s="14"/>
      <c r="F651" s="14"/>
      <c r="G651" s="14"/>
      <c r="K651" s="8"/>
    </row>
    <row r="652" spans="4:11" ht="19.5" customHeight="1">
      <c r="D652" s="14"/>
      <c r="E652" s="14"/>
      <c r="F652" s="14"/>
      <c r="G652" s="14"/>
      <c r="K652" s="8"/>
    </row>
    <row r="653" spans="4:11" ht="19.5" customHeight="1">
      <c r="D653" s="14"/>
      <c r="E653" s="14"/>
      <c r="F653" s="14"/>
      <c r="G653" s="14"/>
      <c r="K653" s="8"/>
    </row>
    <row r="654" spans="4:11" ht="19.5" customHeight="1">
      <c r="D654" s="14"/>
      <c r="E654" s="14"/>
      <c r="F654" s="14"/>
      <c r="G654" s="14"/>
      <c r="K654" s="8"/>
    </row>
    <row r="655" spans="4:11" ht="19.5" customHeight="1">
      <c r="D655" s="14"/>
      <c r="E655" s="14"/>
      <c r="F655" s="14"/>
      <c r="G655" s="14"/>
      <c r="K655" s="8"/>
    </row>
    <row r="656" spans="4:11" ht="19.5" customHeight="1">
      <c r="D656" s="14"/>
      <c r="E656" s="14"/>
      <c r="F656" s="14"/>
      <c r="G656" s="14"/>
      <c r="K656" s="8"/>
    </row>
    <row r="657" spans="4:11" ht="19.5" customHeight="1">
      <c r="D657" s="14"/>
      <c r="E657" s="14"/>
      <c r="F657" s="14"/>
      <c r="G657" s="14"/>
      <c r="K657" s="8"/>
    </row>
    <row r="658" spans="4:11" ht="19.5" customHeight="1">
      <c r="D658" s="14"/>
      <c r="E658" s="14"/>
      <c r="F658" s="14"/>
      <c r="G658" s="14"/>
      <c r="K658" s="8"/>
    </row>
    <row r="659" spans="4:11" ht="19.5" customHeight="1">
      <c r="D659" s="14"/>
      <c r="E659" s="14"/>
      <c r="F659" s="14"/>
      <c r="G659" s="14"/>
      <c r="K659" s="8"/>
    </row>
    <row r="660" spans="4:11" ht="19.5" customHeight="1">
      <c r="D660" s="14"/>
      <c r="E660" s="14"/>
      <c r="F660" s="14"/>
      <c r="G660" s="14"/>
      <c r="K660" s="8"/>
    </row>
    <row r="661" spans="4:11" ht="19.5" customHeight="1">
      <c r="D661" s="14"/>
      <c r="E661" s="14"/>
      <c r="F661" s="14"/>
      <c r="G661" s="14"/>
      <c r="K661" s="8"/>
    </row>
    <row r="662" spans="4:11" ht="19.5" customHeight="1">
      <c r="D662" s="14"/>
      <c r="E662" s="14"/>
      <c r="F662" s="14"/>
      <c r="G662" s="14"/>
      <c r="K662" s="8"/>
    </row>
    <row r="663" spans="4:11" ht="19.5" customHeight="1">
      <c r="D663" s="14"/>
      <c r="E663" s="14"/>
      <c r="F663" s="14"/>
      <c r="G663" s="14"/>
      <c r="K663" s="8"/>
    </row>
    <row r="664" spans="4:11" ht="19.5" customHeight="1">
      <c r="D664" s="14"/>
      <c r="E664" s="14"/>
      <c r="F664" s="14"/>
      <c r="G664" s="14"/>
      <c r="K664" s="8"/>
    </row>
    <row r="665" spans="4:11" ht="19.5" customHeight="1">
      <c r="D665" s="14"/>
      <c r="E665" s="14"/>
      <c r="F665" s="14"/>
      <c r="G665" s="14"/>
      <c r="K665" s="8"/>
    </row>
    <row r="666" spans="4:11" ht="19.5" customHeight="1">
      <c r="D666" s="14"/>
      <c r="E666" s="14"/>
      <c r="F666" s="14"/>
      <c r="G666" s="14"/>
      <c r="K666" s="8"/>
    </row>
    <row r="667" spans="4:11" ht="19.5" customHeight="1">
      <c r="D667" s="14"/>
      <c r="E667" s="14"/>
      <c r="F667" s="14"/>
      <c r="G667" s="14"/>
      <c r="K667" s="8"/>
    </row>
    <row r="668" spans="4:11" ht="19.5" customHeight="1">
      <c r="D668" s="14"/>
      <c r="E668" s="14"/>
      <c r="F668" s="14"/>
      <c r="G668" s="14"/>
      <c r="K668" s="8"/>
    </row>
    <row r="669" spans="4:11" ht="19.5" customHeight="1">
      <c r="D669" s="14"/>
      <c r="E669" s="14"/>
      <c r="F669" s="14"/>
      <c r="G669" s="14"/>
      <c r="K669" s="8"/>
    </row>
    <row r="670" spans="4:11" ht="19.5" customHeight="1">
      <c r="D670" s="14"/>
      <c r="E670" s="14"/>
      <c r="F670" s="14"/>
      <c r="G670" s="14"/>
      <c r="K670" s="8"/>
    </row>
    <row r="671" spans="4:11" ht="19.5" customHeight="1">
      <c r="D671" s="14"/>
      <c r="E671" s="14"/>
      <c r="F671" s="14"/>
      <c r="G671" s="14"/>
      <c r="K671" s="8"/>
    </row>
    <row r="672" spans="4:11" ht="19.5" customHeight="1">
      <c r="D672" s="14"/>
      <c r="E672" s="14"/>
      <c r="F672" s="14"/>
      <c r="G672" s="14"/>
      <c r="K672" s="8"/>
    </row>
    <row r="673" spans="4:11" ht="19.5" customHeight="1">
      <c r="D673" s="14"/>
      <c r="E673" s="14"/>
      <c r="F673" s="14"/>
      <c r="G673" s="14"/>
      <c r="K673" s="8"/>
    </row>
    <row r="674" spans="4:11" ht="19.5" customHeight="1">
      <c r="D674" s="14"/>
      <c r="E674" s="14"/>
      <c r="F674" s="14"/>
      <c r="G674" s="14"/>
      <c r="K674" s="8"/>
    </row>
    <row r="675" spans="4:11" ht="19.5" customHeight="1">
      <c r="D675" s="14"/>
      <c r="E675" s="14"/>
      <c r="F675" s="14"/>
      <c r="G675" s="14"/>
      <c r="K675" s="8"/>
    </row>
    <row r="676" spans="4:11" ht="19.5" customHeight="1">
      <c r="D676" s="14"/>
      <c r="E676" s="14"/>
      <c r="F676" s="14"/>
      <c r="G676" s="14"/>
      <c r="K676" s="8"/>
    </row>
    <row r="677" spans="4:11" ht="19.5" customHeight="1">
      <c r="D677" s="14"/>
      <c r="E677" s="14"/>
      <c r="F677" s="14"/>
      <c r="G677" s="14"/>
      <c r="K677" s="8"/>
    </row>
    <row r="678" spans="4:11" ht="19.5" customHeight="1">
      <c r="D678" s="14"/>
      <c r="E678" s="14"/>
      <c r="F678" s="14"/>
      <c r="G678" s="14"/>
      <c r="K678" s="8"/>
    </row>
    <row r="679" spans="4:11" ht="19.5" customHeight="1">
      <c r="D679" s="14"/>
      <c r="E679" s="14"/>
      <c r="F679" s="14"/>
      <c r="G679" s="14"/>
      <c r="K679" s="8"/>
    </row>
    <row r="680" spans="4:11" ht="19.5" customHeight="1">
      <c r="D680" s="14"/>
      <c r="E680" s="14"/>
      <c r="F680" s="14"/>
      <c r="G680" s="14"/>
      <c r="K680" s="8"/>
    </row>
    <row r="681" spans="4:11" ht="19.5" customHeight="1">
      <c r="D681" s="14"/>
      <c r="E681" s="14"/>
      <c r="F681" s="14"/>
      <c r="G681" s="14"/>
      <c r="K681" s="8"/>
    </row>
    <row r="682" spans="4:11" ht="19.5" customHeight="1">
      <c r="D682" s="14"/>
      <c r="E682" s="14"/>
      <c r="F682" s="14"/>
      <c r="G682" s="14"/>
      <c r="K682" s="8"/>
    </row>
    <row r="683" spans="4:11" ht="19.5" customHeight="1">
      <c r="D683" s="14"/>
      <c r="E683" s="14"/>
      <c r="F683" s="14"/>
      <c r="G683" s="14"/>
      <c r="K683" s="8"/>
    </row>
    <row r="684" spans="4:11" ht="19.5" customHeight="1">
      <c r="D684" s="14"/>
      <c r="E684" s="14"/>
      <c r="F684" s="14"/>
      <c r="G684" s="14"/>
      <c r="K684" s="8"/>
    </row>
    <row r="685" spans="4:11" ht="19.5" customHeight="1">
      <c r="D685" s="14"/>
      <c r="E685" s="14"/>
      <c r="F685" s="14"/>
      <c r="G685" s="14"/>
      <c r="K685" s="8"/>
    </row>
    <row r="686" spans="4:11" ht="19.5" customHeight="1">
      <c r="D686" s="14"/>
      <c r="E686" s="14"/>
      <c r="F686" s="14"/>
      <c r="G686" s="14"/>
      <c r="K686" s="8"/>
    </row>
    <row r="687" spans="4:11" ht="19.5" customHeight="1">
      <c r="D687" s="14"/>
      <c r="E687" s="14"/>
      <c r="F687" s="14"/>
      <c r="G687" s="14"/>
      <c r="K687" s="8"/>
    </row>
    <row r="688" spans="4:11" ht="19.5" customHeight="1">
      <c r="D688" s="14"/>
      <c r="E688" s="14"/>
      <c r="F688" s="14"/>
      <c r="G688" s="14"/>
      <c r="K688" s="8"/>
    </row>
    <row r="689" spans="4:11" ht="19.5" customHeight="1">
      <c r="D689" s="14"/>
      <c r="E689" s="14"/>
      <c r="F689" s="14"/>
      <c r="G689" s="14"/>
      <c r="K689" s="8"/>
    </row>
    <row r="690" spans="4:11" ht="19.5" customHeight="1">
      <c r="D690" s="14"/>
      <c r="E690" s="14"/>
      <c r="F690" s="14"/>
      <c r="G690" s="14"/>
      <c r="K690" s="8"/>
    </row>
    <row r="691" spans="4:11" ht="19.5" customHeight="1">
      <c r="D691" s="14"/>
      <c r="E691" s="14"/>
      <c r="F691" s="14"/>
      <c r="G691" s="14"/>
      <c r="K691" s="8"/>
    </row>
    <row r="692" spans="4:11" ht="19.5" customHeight="1">
      <c r="D692" s="14"/>
      <c r="E692" s="14"/>
      <c r="F692" s="14"/>
      <c r="G692" s="14"/>
      <c r="K692" s="8"/>
    </row>
    <row r="693" spans="4:11" ht="19.5" customHeight="1">
      <c r="D693" s="14"/>
      <c r="E693" s="14"/>
      <c r="F693" s="14"/>
      <c r="G693" s="14"/>
      <c r="K693" s="8"/>
    </row>
    <row r="694" spans="4:11" ht="19.5" customHeight="1">
      <c r="D694" s="14"/>
      <c r="E694" s="14"/>
      <c r="F694" s="14"/>
      <c r="G694" s="14"/>
      <c r="K694" s="8"/>
    </row>
    <row r="695" spans="4:11" ht="19.5" customHeight="1">
      <c r="D695" s="14"/>
      <c r="E695" s="14"/>
      <c r="F695" s="14"/>
      <c r="G695" s="14"/>
      <c r="K695" s="8"/>
    </row>
    <row r="696" spans="4:11" ht="19.5" customHeight="1">
      <c r="D696" s="14"/>
      <c r="E696" s="14"/>
      <c r="F696" s="14"/>
      <c r="G696" s="14"/>
      <c r="K696" s="8"/>
    </row>
    <row r="697" spans="4:11" ht="19.5" customHeight="1">
      <c r="D697" s="14"/>
      <c r="E697" s="14"/>
      <c r="F697" s="14"/>
      <c r="G697" s="14"/>
      <c r="K697" s="8"/>
    </row>
    <row r="698" spans="4:11" ht="19.5" customHeight="1">
      <c r="D698" s="14"/>
      <c r="E698" s="14"/>
      <c r="F698" s="14"/>
      <c r="G698" s="14"/>
      <c r="K698" s="8"/>
    </row>
    <row r="699" spans="4:11" ht="19.5" customHeight="1">
      <c r="D699" s="14"/>
      <c r="E699" s="14"/>
      <c r="F699" s="14"/>
      <c r="G699" s="14"/>
      <c r="K699" s="8"/>
    </row>
    <row r="700" spans="4:11" ht="19.5" customHeight="1">
      <c r="D700" s="14"/>
      <c r="E700" s="14"/>
      <c r="F700" s="14"/>
      <c r="G700" s="14"/>
      <c r="K700" s="8"/>
    </row>
    <row r="701" spans="4:11" ht="19.5" customHeight="1">
      <c r="D701" s="14"/>
      <c r="E701" s="14"/>
      <c r="F701" s="14"/>
      <c r="G701" s="14"/>
      <c r="K701" s="8"/>
    </row>
    <row r="702" spans="4:11" ht="19.5" customHeight="1">
      <c r="D702" s="14"/>
      <c r="E702" s="14"/>
      <c r="F702" s="14"/>
      <c r="G702" s="14"/>
      <c r="K702" s="8"/>
    </row>
    <row r="703" spans="4:11" ht="19.5" customHeight="1">
      <c r="D703" s="14"/>
      <c r="E703" s="14"/>
      <c r="F703" s="14"/>
      <c r="G703" s="14"/>
      <c r="K703" s="8"/>
    </row>
    <row r="704" spans="4:11" ht="19.5" customHeight="1">
      <c r="D704" s="14"/>
      <c r="E704" s="14"/>
      <c r="F704" s="14"/>
      <c r="G704" s="14"/>
      <c r="K704" s="8"/>
    </row>
    <row r="705" spans="4:11" ht="19.5" customHeight="1">
      <c r="D705" s="14"/>
      <c r="E705" s="14"/>
      <c r="F705" s="14"/>
      <c r="G705" s="14"/>
      <c r="K705" s="8"/>
    </row>
    <row r="706" spans="4:11" ht="19.5" customHeight="1">
      <c r="D706" s="14"/>
      <c r="E706" s="14"/>
      <c r="F706" s="14"/>
      <c r="G706" s="14"/>
      <c r="K706" s="8"/>
    </row>
    <row r="707" spans="4:11" ht="19.5" customHeight="1">
      <c r="D707" s="14"/>
      <c r="E707" s="14"/>
      <c r="F707" s="14"/>
      <c r="G707" s="14"/>
      <c r="K707" s="8"/>
    </row>
    <row r="708" spans="4:11" ht="19.5" customHeight="1">
      <c r="D708" s="14"/>
      <c r="E708" s="14"/>
      <c r="F708" s="14"/>
      <c r="G708" s="14"/>
      <c r="K708" s="8"/>
    </row>
    <row r="709" spans="4:11" ht="19.5" customHeight="1">
      <c r="D709" s="14"/>
      <c r="E709" s="14"/>
      <c r="F709" s="14"/>
      <c r="G709" s="14"/>
      <c r="K709" s="8"/>
    </row>
    <row r="710" spans="4:11" ht="19.5" customHeight="1">
      <c r="D710" s="14"/>
      <c r="E710" s="14"/>
      <c r="F710" s="14"/>
      <c r="G710" s="14"/>
      <c r="K710" s="8"/>
    </row>
    <row r="711" spans="4:11" ht="19.5" customHeight="1">
      <c r="D711" s="14"/>
      <c r="E711" s="14"/>
      <c r="F711" s="14"/>
      <c r="G711" s="14"/>
      <c r="K711" s="8"/>
    </row>
    <row r="712" spans="4:11" ht="19.5" customHeight="1">
      <c r="D712" s="14"/>
      <c r="E712" s="14"/>
      <c r="F712" s="14"/>
      <c r="G712" s="14"/>
      <c r="K712" s="8"/>
    </row>
    <row r="713" spans="4:11" ht="19.5" customHeight="1">
      <c r="D713" s="14"/>
      <c r="E713" s="14"/>
      <c r="F713" s="14"/>
      <c r="G713" s="14"/>
      <c r="K713" s="8"/>
    </row>
    <row r="714" spans="4:11" ht="19.5" customHeight="1">
      <c r="D714" s="14"/>
      <c r="E714" s="14"/>
      <c r="F714" s="14"/>
      <c r="G714" s="14"/>
      <c r="K714" s="8"/>
    </row>
    <row r="715" spans="4:11" ht="19.5" customHeight="1">
      <c r="D715" s="14"/>
      <c r="E715" s="14"/>
      <c r="F715" s="14"/>
      <c r="G715" s="14"/>
      <c r="K715" s="8"/>
    </row>
    <row r="716" spans="4:11" ht="19.5" customHeight="1">
      <c r="D716" s="14"/>
      <c r="E716" s="14"/>
      <c r="F716" s="14"/>
      <c r="G716" s="14"/>
      <c r="K716" s="8"/>
    </row>
    <row r="717" spans="4:11" ht="19.5" customHeight="1">
      <c r="D717" s="14"/>
      <c r="E717" s="14"/>
      <c r="F717" s="14"/>
      <c r="G717" s="14"/>
      <c r="K717" s="8"/>
    </row>
    <row r="718" spans="4:11" ht="19.5" customHeight="1">
      <c r="D718" s="14"/>
      <c r="E718" s="14"/>
      <c r="F718" s="14"/>
      <c r="G718" s="14"/>
      <c r="K718" s="8"/>
    </row>
    <row r="719" spans="4:11" ht="19.5" customHeight="1">
      <c r="D719" s="14"/>
      <c r="E719" s="14"/>
      <c r="F719" s="14"/>
      <c r="G719" s="14"/>
      <c r="K719" s="8"/>
    </row>
    <row r="720" spans="4:11" ht="19.5" customHeight="1">
      <c r="D720" s="14"/>
      <c r="E720" s="14"/>
      <c r="F720" s="14"/>
      <c r="G720" s="14"/>
      <c r="K720" s="8"/>
    </row>
    <row r="721" spans="4:11" ht="19.5" customHeight="1">
      <c r="D721" s="14"/>
      <c r="E721" s="14"/>
      <c r="F721" s="14"/>
      <c r="G721" s="14"/>
      <c r="K721" s="8"/>
    </row>
    <row r="722" spans="4:11" ht="19.5" customHeight="1">
      <c r="D722" s="14"/>
      <c r="E722" s="14"/>
      <c r="F722" s="14"/>
      <c r="G722" s="14"/>
      <c r="K722" s="8"/>
    </row>
    <row r="723" spans="4:11" ht="19.5" customHeight="1">
      <c r="D723" s="14"/>
      <c r="E723" s="14"/>
      <c r="F723" s="14"/>
      <c r="G723" s="14"/>
      <c r="K723" s="8"/>
    </row>
    <row r="724" spans="4:11" ht="19.5" customHeight="1">
      <c r="D724" s="14"/>
      <c r="E724" s="14"/>
      <c r="F724" s="14"/>
      <c r="G724" s="14"/>
      <c r="K724" s="8"/>
    </row>
    <row r="725" spans="4:11" ht="19.5" customHeight="1">
      <c r="D725" s="14"/>
      <c r="E725" s="14"/>
      <c r="F725" s="14"/>
      <c r="G725" s="14"/>
      <c r="K725" s="8"/>
    </row>
    <row r="726" spans="4:11" ht="19.5" customHeight="1">
      <c r="D726" s="14"/>
      <c r="E726" s="14"/>
      <c r="F726" s="14"/>
      <c r="G726" s="14"/>
      <c r="K726" s="8"/>
    </row>
    <row r="727" spans="4:11" ht="19.5" customHeight="1">
      <c r="D727" s="14"/>
      <c r="E727" s="14"/>
      <c r="F727" s="14"/>
      <c r="G727" s="14"/>
      <c r="K727" s="8"/>
    </row>
    <row r="728" spans="4:11" ht="19.5" customHeight="1">
      <c r="D728" s="14"/>
      <c r="E728" s="14"/>
      <c r="F728" s="14"/>
      <c r="G728" s="14"/>
      <c r="K728" s="8"/>
    </row>
    <row r="729" spans="4:11" ht="19.5" customHeight="1">
      <c r="D729" s="14"/>
      <c r="E729" s="14"/>
      <c r="F729" s="14"/>
      <c r="G729" s="14"/>
      <c r="K729" s="8"/>
    </row>
    <row r="730" spans="4:11" ht="19.5" customHeight="1">
      <c r="D730" s="14"/>
      <c r="E730" s="14"/>
      <c r="F730" s="14"/>
      <c r="G730" s="14"/>
      <c r="K730" s="8"/>
    </row>
    <row r="731" spans="4:11" ht="19.5" customHeight="1">
      <c r="D731" s="14"/>
      <c r="E731" s="14"/>
      <c r="F731" s="14"/>
      <c r="G731" s="14"/>
      <c r="K731" s="8"/>
    </row>
    <row r="732" spans="4:11" ht="19.5" customHeight="1">
      <c r="D732" s="14"/>
      <c r="E732" s="14"/>
      <c r="F732" s="14"/>
      <c r="G732" s="14"/>
      <c r="K732" s="8"/>
    </row>
    <row r="733" spans="4:11" ht="19.5" customHeight="1">
      <c r="D733" s="14"/>
      <c r="E733" s="14"/>
      <c r="F733" s="14"/>
      <c r="G733" s="14"/>
      <c r="K733" s="8"/>
    </row>
    <row r="734" spans="4:11" ht="19.5" customHeight="1">
      <c r="D734" s="14"/>
      <c r="E734" s="14"/>
      <c r="F734" s="14"/>
      <c r="G734" s="14"/>
      <c r="K734" s="8"/>
    </row>
    <row r="735" spans="4:11" ht="19.5" customHeight="1">
      <c r="D735" s="14"/>
      <c r="E735" s="14"/>
      <c r="F735" s="14"/>
      <c r="G735" s="14"/>
      <c r="K735" s="8"/>
    </row>
    <row r="736" spans="4:11" ht="19.5" customHeight="1">
      <c r="D736" s="14"/>
      <c r="E736" s="14"/>
      <c r="F736" s="14"/>
      <c r="G736" s="14"/>
      <c r="K736" s="8"/>
    </row>
    <row r="737" spans="4:11" ht="19.5" customHeight="1">
      <c r="D737" s="14"/>
      <c r="E737" s="14"/>
      <c r="F737" s="14"/>
      <c r="G737" s="14"/>
      <c r="K737" s="8"/>
    </row>
    <row r="738" spans="4:11" ht="19.5" customHeight="1">
      <c r="D738" s="14"/>
      <c r="E738" s="14"/>
      <c r="F738" s="14"/>
      <c r="G738" s="14"/>
      <c r="K738" s="8"/>
    </row>
    <row r="739" spans="4:11" ht="19.5" customHeight="1">
      <c r="D739" s="14"/>
      <c r="E739" s="14"/>
      <c r="F739" s="14"/>
      <c r="G739" s="14"/>
      <c r="K739" s="8"/>
    </row>
    <row r="740" spans="4:11" ht="19.5" customHeight="1">
      <c r="D740" s="14"/>
      <c r="E740" s="14"/>
      <c r="F740" s="14"/>
      <c r="G740" s="14"/>
      <c r="K740" s="8"/>
    </row>
    <row r="741" spans="4:11" ht="19.5" customHeight="1">
      <c r="D741" s="14"/>
      <c r="E741" s="14"/>
      <c r="F741" s="14"/>
      <c r="G741" s="14"/>
      <c r="K741" s="8"/>
    </row>
    <row r="742" spans="4:11" ht="19.5" customHeight="1">
      <c r="D742" s="14"/>
      <c r="E742" s="14"/>
      <c r="F742" s="14"/>
      <c r="G742" s="14"/>
      <c r="K742" s="8"/>
    </row>
    <row r="743" spans="4:11" ht="19.5" customHeight="1">
      <c r="D743" s="14"/>
      <c r="E743" s="14"/>
      <c r="F743" s="14"/>
      <c r="G743" s="14"/>
      <c r="K743" s="8"/>
    </row>
    <row r="744" spans="4:11" ht="19.5" customHeight="1">
      <c r="D744" s="14"/>
      <c r="E744" s="14"/>
      <c r="F744" s="14"/>
      <c r="G744" s="14"/>
      <c r="K744" s="8"/>
    </row>
    <row r="745" spans="4:11" ht="19.5" customHeight="1">
      <c r="D745" s="14"/>
      <c r="E745" s="14"/>
      <c r="F745" s="14"/>
      <c r="G745" s="14"/>
      <c r="K745" s="8"/>
    </row>
    <row r="746" spans="4:11" ht="19.5" customHeight="1">
      <c r="D746" s="14"/>
      <c r="E746" s="14"/>
      <c r="F746" s="14"/>
      <c r="G746" s="14"/>
      <c r="K746" s="8"/>
    </row>
    <row r="747" spans="4:11" ht="19.5" customHeight="1">
      <c r="D747" s="14"/>
      <c r="E747" s="14"/>
      <c r="F747" s="14"/>
      <c r="G747" s="14"/>
      <c r="K747" s="8"/>
    </row>
    <row r="748" spans="4:11" ht="19.5" customHeight="1">
      <c r="D748" s="14"/>
      <c r="E748" s="14"/>
      <c r="F748" s="14"/>
      <c r="G748" s="14"/>
      <c r="K748" s="8"/>
    </row>
    <row r="749" spans="4:11" ht="19.5" customHeight="1">
      <c r="D749" s="14"/>
      <c r="E749" s="14"/>
      <c r="F749" s="14"/>
      <c r="G749" s="14"/>
      <c r="K749" s="8"/>
    </row>
    <row r="750" spans="4:11" ht="19.5" customHeight="1">
      <c r="D750" s="14"/>
      <c r="E750" s="14"/>
      <c r="F750" s="14"/>
      <c r="G750" s="14"/>
      <c r="K750" s="8"/>
    </row>
    <row r="751" spans="4:11" ht="19.5" customHeight="1">
      <c r="D751" s="14"/>
      <c r="E751" s="14"/>
      <c r="F751" s="14"/>
      <c r="G751" s="14"/>
      <c r="K751" s="8"/>
    </row>
    <row r="752" spans="4:11" ht="19.5" customHeight="1">
      <c r="D752" s="14"/>
      <c r="E752" s="14"/>
      <c r="F752" s="14"/>
      <c r="G752" s="14"/>
      <c r="K752" s="8"/>
    </row>
    <row r="753" spans="4:11" ht="19.5" customHeight="1">
      <c r="D753" s="14"/>
      <c r="E753" s="14"/>
      <c r="F753" s="14"/>
      <c r="G753" s="14"/>
      <c r="K753" s="8"/>
    </row>
    <row r="754" spans="4:11" ht="19.5" customHeight="1">
      <c r="D754" s="14"/>
      <c r="E754" s="14"/>
      <c r="F754" s="14"/>
      <c r="G754" s="14"/>
      <c r="K754" s="8"/>
    </row>
    <row r="755" spans="4:11" ht="19.5" customHeight="1">
      <c r="D755" s="14"/>
      <c r="E755" s="14"/>
      <c r="F755" s="14"/>
      <c r="G755" s="14"/>
      <c r="K755" s="8"/>
    </row>
    <row r="756" spans="4:11" ht="19.5" customHeight="1">
      <c r="D756" s="14"/>
      <c r="E756" s="14"/>
      <c r="F756" s="14"/>
      <c r="G756" s="14"/>
      <c r="K756" s="8"/>
    </row>
    <row r="757" spans="4:11" ht="19.5" customHeight="1">
      <c r="D757" s="14"/>
      <c r="E757" s="14"/>
      <c r="F757" s="14"/>
      <c r="G757" s="14"/>
      <c r="K757" s="8"/>
    </row>
    <row r="758" spans="4:11" ht="19.5" customHeight="1">
      <c r="D758" s="14"/>
      <c r="E758" s="14"/>
      <c r="F758" s="14"/>
      <c r="G758" s="14"/>
      <c r="K758" s="8"/>
    </row>
    <row r="759" spans="4:11" ht="19.5" customHeight="1">
      <c r="D759" s="14"/>
      <c r="E759" s="14"/>
      <c r="F759" s="14"/>
      <c r="G759" s="14"/>
      <c r="K759" s="8"/>
    </row>
    <row r="760" spans="4:11" ht="19.5" customHeight="1">
      <c r="D760" s="14"/>
      <c r="E760" s="14"/>
      <c r="F760" s="14"/>
      <c r="G760" s="14"/>
      <c r="K760" s="8"/>
    </row>
    <row r="761" spans="4:11" ht="19.5" customHeight="1">
      <c r="D761" s="14"/>
      <c r="E761" s="14"/>
      <c r="F761" s="14"/>
      <c r="G761" s="14"/>
      <c r="K761" s="8"/>
    </row>
    <row r="762" spans="4:11" ht="19.5" customHeight="1">
      <c r="D762" s="14"/>
      <c r="E762" s="14"/>
      <c r="F762" s="14"/>
      <c r="G762" s="14"/>
      <c r="K762" s="8"/>
    </row>
    <row r="763" spans="4:11" ht="19.5" customHeight="1">
      <c r="D763" s="14"/>
      <c r="E763" s="14"/>
      <c r="F763" s="14"/>
      <c r="G763" s="14"/>
      <c r="K763" s="8"/>
    </row>
    <row r="764" spans="4:11" ht="19.5" customHeight="1">
      <c r="D764" s="14"/>
      <c r="E764" s="14"/>
      <c r="F764" s="14"/>
      <c r="G764" s="14"/>
      <c r="K764" s="8"/>
    </row>
    <row r="765" spans="4:11" ht="19.5" customHeight="1">
      <c r="D765" s="14"/>
      <c r="E765" s="14"/>
      <c r="F765" s="14"/>
      <c r="G765" s="14"/>
      <c r="K765" s="8"/>
    </row>
    <row r="766" spans="4:11" ht="19.5" customHeight="1">
      <c r="D766" s="14"/>
      <c r="E766" s="14"/>
      <c r="F766" s="14"/>
      <c r="G766" s="14"/>
      <c r="K766" s="8"/>
    </row>
    <row r="767" spans="4:11" ht="19.5" customHeight="1">
      <c r="D767" s="14"/>
      <c r="E767" s="14"/>
      <c r="F767" s="14"/>
      <c r="G767" s="14"/>
      <c r="K767" s="8"/>
    </row>
    <row r="768" spans="4:11" ht="19.5" customHeight="1">
      <c r="D768" s="14"/>
      <c r="E768" s="14"/>
      <c r="F768" s="14"/>
      <c r="G768" s="14"/>
      <c r="K768" s="8"/>
    </row>
    <row r="769" spans="4:11" ht="19.5" customHeight="1">
      <c r="D769" s="14"/>
      <c r="E769" s="14"/>
      <c r="F769" s="14"/>
      <c r="G769" s="14"/>
      <c r="K769" s="8"/>
    </row>
    <row r="770" spans="4:11" ht="19.5" customHeight="1">
      <c r="D770" s="14"/>
      <c r="E770" s="14"/>
      <c r="F770" s="14"/>
      <c r="G770" s="14"/>
      <c r="K770" s="8"/>
    </row>
    <row r="771" spans="4:11" ht="19.5" customHeight="1">
      <c r="D771" s="14"/>
      <c r="E771" s="14"/>
      <c r="F771" s="14"/>
      <c r="G771" s="14"/>
      <c r="K771" s="8"/>
    </row>
    <row r="772" spans="4:11" ht="19.5" customHeight="1">
      <c r="D772" s="14"/>
      <c r="E772" s="14"/>
      <c r="F772" s="14"/>
      <c r="G772" s="14"/>
      <c r="K772" s="8"/>
    </row>
    <row r="773" spans="4:11" ht="19.5" customHeight="1">
      <c r="D773" s="14"/>
      <c r="E773" s="14"/>
      <c r="F773" s="14"/>
      <c r="G773" s="14"/>
      <c r="K773" s="8"/>
    </row>
    <row r="774" spans="4:11" ht="19.5" customHeight="1">
      <c r="D774" s="14"/>
      <c r="E774" s="14"/>
      <c r="F774" s="14"/>
      <c r="G774" s="14"/>
      <c r="K774" s="8"/>
    </row>
    <row r="775" spans="4:11" ht="19.5" customHeight="1">
      <c r="D775" s="14"/>
      <c r="E775" s="14"/>
      <c r="F775" s="14"/>
      <c r="G775" s="14"/>
      <c r="K775" s="8"/>
    </row>
    <row r="776" spans="4:11" ht="19.5" customHeight="1">
      <c r="D776" s="14"/>
      <c r="E776" s="14"/>
      <c r="F776" s="14"/>
      <c r="G776" s="14"/>
      <c r="K776" s="8"/>
    </row>
    <row r="777" spans="4:11" ht="19.5" customHeight="1">
      <c r="D777" s="14"/>
      <c r="E777" s="14"/>
      <c r="F777" s="14"/>
      <c r="G777" s="14"/>
      <c r="K777" s="8"/>
    </row>
    <row r="778" spans="4:11" ht="19.5" customHeight="1">
      <c r="D778" s="14"/>
      <c r="E778" s="14"/>
      <c r="F778" s="14"/>
      <c r="G778" s="14"/>
      <c r="K778" s="8"/>
    </row>
    <row r="779" spans="4:11" ht="19.5" customHeight="1">
      <c r="D779" s="14"/>
      <c r="E779" s="14"/>
      <c r="F779" s="14"/>
      <c r="G779" s="14"/>
      <c r="K779" s="8"/>
    </row>
    <row r="780" spans="4:11" ht="19.5" customHeight="1">
      <c r="D780" s="14"/>
      <c r="E780" s="14"/>
      <c r="F780" s="14"/>
      <c r="G780" s="14"/>
      <c r="K780" s="8"/>
    </row>
    <row r="781" spans="4:11" ht="19.5" customHeight="1">
      <c r="D781" s="14"/>
      <c r="E781" s="14"/>
      <c r="F781" s="14"/>
      <c r="G781" s="14"/>
      <c r="K781" s="8"/>
    </row>
    <row r="782" spans="4:11" ht="19.5" customHeight="1">
      <c r="D782" s="14"/>
      <c r="E782" s="14"/>
      <c r="F782" s="14"/>
      <c r="G782" s="14"/>
      <c r="K782" s="8"/>
    </row>
    <row r="783" spans="4:11" ht="19.5" customHeight="1">
      <c r="D783" s="14"/>
      <c r="E783" s="14"/>
      <c r="F783" s="14"/>
      <c r="G783" s="14"/>
      <c r="K783" s="8"/>
    </row>
    <row r="784" spans="4:11" ht="19.5" customHeight="1">
      <c r="D784" s="14"/>
      <c r="E784" s="14"/>
      <c r="F784" s="14"/>
      <c r="G784" s="14"/>
      <c r="K784" s="8"/>
    </row>
    <row r="785" spans="4:11" ht="19.5" customHeight="1">
      <c r="D785" s="14"/>
      <c r="E785" s="14"/>
      <c r="F785" s="14"/>
      <c r="G785" s="14"/>
      <c r="K785" s="8"/>
    </row>
    <row r="786" spans="4:11" ht="19.5" customHeight="1">
      <c r="D786" s="14"/>
      <c r="E786" s="14"/>
      <c r="F786" s="14"/>
      <c r="G786" s="14"/>
      <c r="K786" s="8"/>
    </row>
    <row r="787" spans="4:11" ht="19.5" customHeight="1">
      <c r="D787" s="14"/>
      <c r="E787" s="14"/>
      <c r="F787" s="14"/>
      <c r="G787" s="14"/>
      <c r="K787" s="8"/>
    </row>
    <row r="788" spans="4:11" ht="19.5" customHeight="1">
      <c r="D788" s="14"/>
      <c r="E788" s="14"/>
      <c r="F788" s="14"/>
      <c r="G788" s="14"/>
      <c r="K788" s="8"/>
    </row>
    <row r="789" spans="4:11" ht="19.5" customHeight="1">
      <c r="D789" s="14"/>
      <c r="E789" s="14"/>
      <c r="F789" s="14"/>
      <c r="G789" s="14"/>
      <c r="K789" s="8"/>
    </row>
    <row r="790" spans="4:11" ht="19.5" customHeight="1">
      <c r="D790" s="14"/>
      <c r="E790" s="14"/>
      <c r="F790" s="14"/>
      <c r="G790" s="14"/>
      <c r="K790" s="8"/>
    </row>
    <row r="791" spans="4:11" ht="19.5" customHeight="1">
      <c r="D791" s="14"/>
      <c r="E791" s="14"/>
      <c r="F791" s="14"/>
      <c r="G791" s="14"/>
      <c r="K791" s="8"/>
    </row>
    <row r="792" spans="4:11" ht="19.5" customHeight="1">
      <c r="D792" s="14"/>
      <c r="E792" s="14"/>
      <c r="F792" s="14"/>
      <c r="G792" s="14"/>
      <c r="K792" s="8"/>
    </row>
    <row r="793" spans="4:11" ht="19.5" customHeight="1">
      <c r="D793" s="14"/>
      <c r="E793" s="14"/>
      <c r="F793" s="14"/>
      <c r="G793" s="14"/>
      <c r="K793" s="8"/>
    </row>
    <row r="794" spans="4:11" ht="19.5" customHeight="1">
      <c r="D794" s="14"/>
      <c r="E794" s="14"/>
      <c r="F794" s="14"/>
      <c r="G794" s="14"/>
      <c r="K794" s="8"/>
    </row>
    <row r="795" spans="4:11" ht="19.5" customHeight="1">
      <c r="D795" s="14"/>
      <c r="E795" s="14"/>
      <c r="F795" s="14"/>
      <c r="G795" s="14"/>
      <c r="K795" s="8"/>
    </row>
    <row r="796" spans="4:11" ht="19.5" customHeight="1">
      <c r="D796" s="14"/>
      <c r="E796" s="14"/>
      <c r="F796" s="14"/>
      <c r="G796" s="14"/>
      <c r="K796" s="8"/>
    </row>
    <row r="797" spans="4:11" ht="19.5" customHeight="1">
      <c r="D797" s="14"/>
      <c r="E797" s="14"/>
      <c r="F797" s="14"/>
      <c r="G797" s="14"/>
      <c r="K797" s="8"/>
    </row>
    <row r="798" spans="4:11" ht="19.5" customHeight="1">
      <c r="D798" s="14"/>
      <c r="E798" s="14"/>
      <c r="F798" s="14"/>
      <c r="G798" s="14"/>
      <c r="K798" s="8"/>
    </row>
    <row r="799" spans="4:11" ht="19.5" customHeight="1">
      <c r="D799" s="14"/>
      <c r="E799" s="14"/>
      <c r="F799" s="14"/>
      <c r="G799" s="14"/>
      <c r="K799" s="8"/>
    </row>
    <row r="800" spans="4:11" ht="19.5" customHeight="1">
      <c r="D800" s="14"/>
      <c r="E800" s="14"/>
      <c r="F800" s="14"/>
      <c r="G800" s="14"/>
      <c r="K800" s="8"/>
    </row>
    <row r="801" spans="4:11" ht="19.5" customHeight="1">
      <c r="D801" s="14"/>
      <c r="E801" s="14"/>
      <c r="F801" s="14"/>
      <c r="G801" s="14"/>
      <c r="K801" s="8"/>
    </row>
    <row r="802" spans="4:11" ht="19.5" customHeight="1">
      <c r="D802" s="14"/>
      <c r="E802" s="14"/>
      <c r="F802" s="14"/>
      <c r="G802" s="14"/>
      <c r="K802" s="8"/>
    </row>
    <row r="803" spans="4:11" ht="19.5" customHeight="1">
      <c r="D803" s="14"/>
      <c r="E803" s="14"/>
      <c r="F803" s="14"/>
      <c r="G803" s="14"/>
      <c r="K803" s="8"/>
    </row>
    <row r="804" spans="4:11" ht="19.5" customHeight="1">
      <c r="D804" s="14"/>
      <c r="E804" s="14"/>
      <c r="F804" s="14"/>
      <c r="G804" s="14"/>
      <c r="K804" s="8"/>
    </row>
    <row r="805" spans="4:11" ht="19.5" customHeight="1">
      <c r="D805" s="14"/>
      <c r="E805" s="14"/>
      <c r="F805" s="14"/>
      <c r="G805" s="14"/>
      <c r="K805" s="8"/>
    </row>
    <row r="806" spans="4:11" ht="19.5" customHeight="1">
      <c r="D806" s="14"/>
      <c r="E806" s="14"/>
      <c r="F806" s="14"/>
      <c r="G806" s="14"/>
      <c r="K806" s="8"/>
    </row>
    <row r="807" spans="4:11" ht="19.5" customHeight="1">
      <c r="D807" s="14"/>
      <c r="E807" s="14"/>
      <c r="F807" s="14"/>
      <c r="G807" s="14"/>
      <c r="K807" s="8"/>
    </row>
    <row r="808" spans="4:11" ht="19.5" customHeight="1">
      <c r="D808" s="14"/>
      <c r="E808" s="14"/>
      <c r="F808" s="14"/>
      <c r="G808" s="14"/>
      <c r="K808" s="8"/>
    </row>
    <row r="809" spans="4:11" ht="19.5" customHeight="1">
      <c r="D809" s="14"/>
      <c r="E809" s="14"/>
      <c r="F809" s="14"/>
      <c r="G809" s="14"/>
      <c r="K809" s="8"/>
    </row>
    <row r="810" spans="4:11" ht="19.5" customHeight="1">
      <c r="D810" s="14"/>
      <c r="E810" s="14"/>
      <c r="F810" s="14"/>
      <c r="G810" s="14"/>
      <c r="K810" s="8"/>
    </row>
    <row r="811" spans="4:11" ht="19.5" customHeight="1">
      <c r="D811" s="14"/>
      <c r="E811" s="14"/>
      <c r="F811" s="14"/>
      <c r="G811" s="14"/>
      <c r="K811" s="8"/>
    </row>
    <row r="812" spans="4:11" ht="19.5" customHeight="1">
      <c r="D812" s="14"/>
      <c r="E812" s="14"/>
      <c r="F812" s="14"/>
      <c r="G812" s="14"/>
      <c r="K812" s="8"/>
    </row>
    <row r="813" spans="4:11" ht="19.5" customHeight="1">
      <c r="D813" s="14"/>
      <c r="E813" s="14"/>
      <c r="F813" s="14"/>
      <c r="G813" s="14"/>
      <c r="K813" s="8"/>
    </row>
    <row r="814" spans="4:11" ht="19.5" customHeight="1">
      <c r="D814" s="14"/>
      <c r="E814" s="14"/>
      <c r="F814" s="14"/>
      <c r="G814" s="14"/>
      <c r="K814" s="8"/>
    </row>
    <row r="815" spans="4:11" ht="19.5" customHeight="1">
      <c r="D815" s="14"/>
      <c r="E815" s="14"/>
      <c r="F815" s="14"/>
      <c r="G815" s="14"/>
      <c r="K815" s="8"/>
    </row>
    <row r="816" spans="4:11" ht="19.5" customHeight="1">
      <c r="D816" s="14"/>
      <c r="E816" s="14"/>
      <c r="F816" s="14"/>
      <c r="G816" s="14"/>
      <c r="K816" s="8"/>
    </row>
    <row r="817" spans="4:11" ht="19.5" customHeight="1">
      <c r="D817" s="14"/>
      <c r="E817" s="14"/>
      <c r="F817" s="14"/>
      <c r="G817" s="14"/>
      <c r="K817" s="8"/>
    </row>
    <row r="818" spans="4:11" ht="19.5" customHeight="1">
      <c r="D818" s="14"/>
      <c r="E818" s="14"/>
      <c r="F818" s="14"/>
      <c r="G818" s="14"/>
      <c r="K818" s="8"/>
    </row>
    <row r="819" spans="4:11" ht="19.5" customHeight="1">
      <c r="D819" s="14"/>
      <c r="E819" s="14"/>
      <c r="F819" s="14"/>
      <c r="G819" s="14"/>
      <c r="K819" s="8"/>
    </row>
    <row r="820" spans="4:11" ht="19.5" customHeight="1">
      <c r="D820" s="14"/>
      <c r="E820" s="14"/>
      <c r="F820" s="14"/>
      <c r="G820" s="14"/>
      <c r="K820" s="8"/>
    </row>
    <row r="821" spans="4:11" ht="19.5" customHeight="1">
      <c r="D821" s="14"/>
      <c r="E821" s="14"/>
      <c r="F821" s="14"/>
      <c r="G821" s="14"/>
      <c r="K821" s="8"/>
    </row>
    <row r="822" spans="4:11" ht="19.5" customHeight="1">
      <c r="D822" s="14"/>
      <c r="E822" s="14"/>
      <c r="F822" s="14"/>
      <c r="G822" s="14"/>
      <c r="K822" s="8"/>
    </row>
    <row r="823" spans="4:11" ht="19.5" customHeight="1">
      <c r="D823" s="14"/>
      <c r="E823" s="14"/>
      <c r="F823" s="14"/>
      <c r="G823" s="14"/>
      <c r="K823" s="8"/>
    </row>
    <row r="824" spans="4:11" ht="19.5" customHeight="1">
      <c r="D824" s="14"/>
      <c r="E824" s="14"/>
      <c r="F824" s="14"/>
      <c r="G824" s="14"/>
      <c r="K824" s="8"/>
    </row>
    <row r="825" spans="4:11" ht="19.5" customHeight="1">
      <c r="D825" s="14"/>
      <c r="E825" s="14"/>
      <c r="F825" s="14"/>
      <c r="G825" s="14"/>
      <c r="K825" s="8"/>
    </row>
    <row r="826" spans="4:11" ht="19.5" customHeight="1">
      <c r="D826" s="14"/>
      <c r="E826" s="14"/>
      <c r="F826" s="14"/>
      <c r="G826" s="14"/>
      <c r="K826" s="8"/>
    </row>
    <row r="827" spans="4:11" ht="19.5" customHeight="1">
      <c r="D827" s="14"/>
      <c r="E827" s="14"/>
      <c r="F827" s="14"/>
      <c r="G827" s="14"/>
      <c r="K827" s="8"/>
    </row>
    <row r="828" spans="4:11" ht="19.5" customHeight="1">
      <c r="D828" s="14"/>
      <c r="E828" s="14"/>
      <c r="F828" s="14"/>
      <c r="G828" s="14"/>
      <c r="K828" s="8"/>
    </row>
    <row r="829" spans="4:11" ht="19.5" customHeight="1">
      <c r="D829" s="14"/>
      <c r="E829" s="14"/>
      <c r="F829" s="14"/>
      <c r="G829" s="14"/>
      <c r="K829" s="8"/>
    </row>
    <row r="830" spans="4:11" ht="19.5" customHeight="1">
      <c r="D830" s="14"/>
      <c r="E830" s="14"/>
      <c r="F830" s="14"/>
      <c r="G830" s="14"/>
      <c r="K830" s="8"/>
    </row>
    <row r="831" spans="4:11" ht="19.5" customHeight="1">
      <c r="D831" s="14"/>
      <c r="E831" s="14"/>
      <c r="F831" s="14"/>
      <c r="G831" s="14"/>
      <c r="K831" s="8"/>
    </row>
    <row r="832" spans="4:11" ht="19.5" customHeight="1">
      <c r="D832" s="14"/>
      <c r="E832" s="14"/>
      <c r="F832" s="14"/>
      <c r="G832" s="14"/>
      <c r="K832" s="8"/>
    </row>
    <row r="833" spans="4:11" ht="19.5" customHeight="1">
      <c r="D833" s="14"/>
      <c r="E833" s="14"/>
      <c r="F833" s="14"/>
      <c r="G833" s="14"/>
      <c r="K833" s="8"/>
    </row>
    <row r="834" spans="4:11" ht="19.5" customHeight="1">
      <c r="D834" s="14"/>
      <c r="E834" s="14"/>
      <c r="F834" s="14"/>
      <c r="G834" s="14"/>
      <c r="K834" s="8"/>
    </row>
    <row r="835" spans="4:11" ht="19.5" customHeight="1">
      <c r="D835" s="14"/>
      <c r="E835" s="14"/>
      <c r="F835" s="14"/>
      <c r="G835" s="14"/>
      <c r="K835" s="8"/>
    </row>
    <row r="836" spans="4:11" ht="19.5" customHeight="1">
      <c r="D836" s="14"/>
      <c r="E836" s="14"/>
      <c r="F836" s="14"/>
      <c r="G836" s="14"/>
      <c r="K836" s="8"/>
    </row>
    <row r="837" spans="4:11" ht="19.5" customHeight="1">
      <c r="D837" s="14"/>
      <c r="E837" s="14"/>
      <c r="F837" s="14"/>
      <c r="G837" s="14"/>
      <c r="K837" s="8"/>
    </row>
    <row r="838" spans="4:11" ht="19.5" customHeight="1">
      <c r="D838" s="14"/>
      <c r="E838" s="14"/>
      <c r="F838" s="14"/>
      <c r="G838" s="14"/>
      <c r="K838" s="8"/>
    </row>
    <row r="839" spans="4:11" ht="19.5" customHeight="1">
      <c r="D839" s="14"/>
      <c r="E839" s="14"/>
      <c r="F839" s="14"/>
      <c r="G839" s="14"/>
      <c r="K839" s="8"/>
    </row>
    <row r="840" spans="4:11" ht="19.5" customHeight="1">
      <c r="D840" s="14"/>
      <c r="E840" s="14"/>
      <c r="F840" s="14"/>
      <c r="G840" s="14"/>
      <c r="K840" s="8"/>
    </row>
    <row r="841" spans="4:11" ht="19.5" customHeight="1">
      <c r="D841" s="14"/>
      <c r="E841" s="14"/>
      <c r="F841" s="14"/>
      <c r="G841" s="14"/>
      <c r="K841" s="8"/>
    </row>
    <row r="842" spans="4:11" ht="19.5" customHeight="1">
      <c r="D842" s="14"/>
      <c r="E842" s="14"/>
      <c r="F842" s="14"/>
      <c r="G842" s="14"/>
      <c r="K842" s="8"/>
    </row>
    <row r="843" spans="4:11" ht="19.5" customHeight="1">
      <c r="D843" s="14"/>
      <c r="E843" s="14"/>
      <c r="F843" s="14"/>
      <c r="G843" s="14"/>
      <c r="K843" s="8"/>
    </row>
    <row r="844" spans="4:11" ht="19.5" customHeight="1">
      <c r="D844" s="14"/>
      <c r="E844" s="14"/>
      <c r="F844" s="14"/>
      <c r="G844" s="14"/>
      <c r="K844" s="8"/>
    </row>
    <row r="845" spans="4:11" ht="19.5" customHeight="1">
      <c r="D845" s="14"/>
      <c r="E845" s="14"/>
      <c r="F845" s="14"/>
      <c r="G845" s="14"/>
      <c r="K845" s="8"/>
    </row>
    <row r="846" spans="4:11" ht="19.5" customHeight="1">
      <c r="D846" s="14"/>
      <c r="E846" s="14"/>
      <c r="F846" s="14"/>
      <c r="G846" s="14"/>
      <c r="K846" s="8"/>
    </row>
    <row r="847" spans="4:11" ht="19.5" customHeight="1">
      <c r="D847" s="14"/>
      <c r="E847" s="14"/>
      <c r="F847" s="14"/>
      <c r="G847" s="14"/>
      <c r="K847" s="8"/>
    </row>
    <row r="848" spans="4:11" ht="19.5" customHeight="1">
      <c r="D848" s="14"/>
      <c r="E848" s="14"/>
      <c r="F848" s="14"/>
      <c r="G848" s="14"/>
      <c r="K848" s="8"/>
    </row>
    <row r="849" spans="4:11" ht="19.5" customHeight="1">
      <c r="D849" s="14"/>
      <c r="E849" s="14"/>
      <c r="F849" s="14"/>
      <c r="G849" s="14"/>
      <c r="K849" s="8"/>
    </row>
    <row r="850" spans="4:11" ht="19.5" customHeight="1">
      <c r="D850" s="14"/>
      <c r="E850" s="14"/>
      <c r="F850" s="14"/>
      <c r="G850" s="14"/>
      <c r="K850" s="8"/>
    </row>
    <row r="851" spans="4:11" ht="19.5" customHeight="1">
      <c r="D851" s="14"/>
      <c r="E851" s="14"/>
      <c r="F851" s="14"/>
      <c r="G851" s="14"/>
      <c r="K851" s="8"/>
    </row>
    <row r="852" spans="4:11" ht="19.5" customHeight="1">
      <c r="D852" s="14"/>
      <c r="E852" s="14"/>
      <c r="F852" s="14"/>
      <c r="G852" s="14"/>
      <c r="K852" s="8"/>
    </row>
    <row r="853" spans="4:11" ht="19.5" customHeight="1">
      <c r="D853" s="14"/>
      <c r="E853" s="14"/>
      <c r="F853" s="14"/>
      <c r="G853" s="14"/>
      <c r="K853" s="8"/>
    </row>
    <row r="854" spans="4:11" ht="19.5" customHeight="1">
      <c r="D854" s="14"/>
      <c r="E854" s="14"/>
      <c r="F854" s="14"/>
      <c r="G854" s="14"/>
      <c r="K854" s="8"/>
    </row>
    <row r="855" spans="4:11" ht="19.5" customHeight="1">
      <c r="D855" s="14"/>
      <c r="E855" s="14"/>
      <c r="F855" s="14"/>
      <c r="G855" s="14"/>
      <c r="K855" s="8"/>
    </row>
    <row r="856" spans="4:11" ht="19.5" customHeight="1">
      <c r="D856" s="14"/>
      <c r="E856" s="14"/>
      <c r="F856" s="14"/>
      <c r="G856" s="14"/>
      <c r="K856" s="8"/>
    </row>
    <row r="857" spans="4:11" ht="19.5" customHeight="1">
      <c r="D857" s="14"/>
      <c r="E857" s="14"/>
      <c r="F857" s="14"/>
      <c r="G857" s="14"/>
      <c r="K857" s="8"/>
    </row>
    <row r="858" spans="4:11" ht="19.5" customHeight="1">
      <c r="D858" s="14"/>
      <c r="E858" s="14"/>
      <c r="F858" s="14"/>
      <c r="G858" s="14"/>
      <c r="K858" s="8"/>
    </row>
    <row r="859" spans="4:11" ht="19.5" customHeight="1">
      <c r="D859" s="14"/>
      <c r="E859" s="14"/>
      <c r="F859" s="14"/>
      <c r="G859" s="14"/>
      <c r="K859" s="8"/>
    </row>
    <row r="860" spans="4:11" ht="19.5" customHeight="1">
      <c r="D860" s="14"/>
      <c r="E860" s="14"/>
      <c r="F860" s="14"/>
      <c r="G860" s="14"/>
      <c r="K860" s="8"/>
    </row>
    <row r="861" spans="4:11" ht="19.5" customHeight="1">
      <c r="D861" s="14"/>
      <c r="E861" s="14"/>
      <c r="F861" s="14"/>
      <c r="G861" s="14"/>
      <c r="K861" s="8"/>
    </row>
    <row r="862" spans="4:11" ht="19.5" customHeight="1">
      <c r="D862" s="14"/>
      <c r="E862" s="14"/>
      <c r="F862" s="14"/>
      <c r="G862" s="14"/>
      <c r="K862" s="8"/>
    </row>
    <row r="863" spans="4:11" ht="19.5" customHeight="1">
      <c r="D863" s="14"/>
      <c r="E863" s="14"/>
      <c r="F863" s="14"/>
      <c r="G863" s="14"/>
      <c r="K863" s="8"/>
    </row>
    <row r="864" spans="4:11" ht="19.5" customHeight="1">
      <c r="D864" s="14"/>
      <c r="E864" s="14"/>
      <c r="F864" s="14"/>
      <c r="G864" s="14"/>
      <c r="K864" s="8"/>
    </row>
    <row r="865" spans="4:11" ht="19.5" customHeight="1">
      <c r="D865" s="14"/>
      <c r="E865" s="14"/>
      <c r="F865" s="14"/>
      <c r="G865" s="14"/>
      <c r="K865" s="8"/>
    </row>
    <row r="866" spans="4:11" ht="19.5" customHeight="1">
      <c r="D866" s="14"/>
      <c r="E866" s="14"/>
      <c r="F866" s="14"/>
      <c r="G866" s="14"/>
      <c r="K866" s="8"/>
    </row>
    <row r="867" spans="4:11" ht="19.5" customHeight="1">
      <c r="D867" s="14"/>
      <c r="E867" s="14"/>
      <c r="F867" s="14"/>
      <c r="G867" s="14"/>
      <c r="K867" s="8"/>
    </row>
    <row r="868" spans="4:11" ht="19.5" customHeight="1">
      <c r="D868" s="14"/>
      <c r="E868" s="14"/>
      <c r="F868" s="14"/>
      <c r="G868" s="14"/>
      <c r="K868" s="8"/>
    </row>
    <row r="869" spans="4:11" ht="19.5" customHeight="1">
      <c r="D869" s="14"/>
      <c r="E869" s="14"/>
      <c r="F869" s="14"/>
      <c r="G869" s="14"/>
      <c r="K869" s="8"/>
    </row>
  </sheetData>
  <sheetProtection/>
  <mergeCells count="6">
    <mergeCell ref="A267:B267"/>
    <mergeCell ref="A274:B274"/>
    <mergeCell ref="J1:K1"/>
    <mergeCell ref="J2:K2"/>
    <mergeCell ref="H3:M3"/>
    <mergeCell ref="I4:L4"/>
  </mergeCells>
  <printOptions/>
  <pageMargins left="0.27" right="0.31" top="0.26" bottom="0.23" header="0.18" footer="0.16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UdristeoiuA</dc:creator>
  <cp:keywords/>
  <dc:description/>
  <cp:lastModifiedBy>Anca UDRISTEOIU</cp:lastModifiedBy>
  <cp:lastPrinted>2013-04-23T08:01:38Z</cp:lastPrinted>
  <dcterms:created xsi:type="dcterms:W3CDTF">2013-01-23T09:02:26Z</dcterms:created>
  <dcterms:modified xsi:type="dcterms:W3CDTF">2013-04-23T08:05:28Z</dcterms:modified>
  <cp:category/>
  <cp:version/>
  <cp:contentType/>
  <cp:contentStatus/>
</cp:coreProperties>
</file>